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C43FFB3A-8DC3-4892-968C-A72B0BC012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2 - Pipe P1" sheetId="1" r:id="rId1"/>
    <sheet name="Graph Data" sheetId="3" r:id="rId2"/>
  </sheets>
  <definedNames>
    <definedName name="A">'Example 7.2 - Pipe P1'!$C$23</definedName>
    <definedName name="c_1">'Example 7.2 - Pipe P1'!$C$131</definedName>
    <definedName name="c_2">'Example 7.2 - Pipe P1'!$C$177</definedName>
    <definedName name="CdA">'Example 7.2 - Pipe P1'!$C$47</definedName>
    <definedName name="cp">'Example 7.2 - Pipe P1'!$C$11</definedName>
    <definedName name="D">'Example 7.2 - Pipe P1'!$C$19</definedName>
    <definedName name="f">'Example 7.2 - Pipe P1'!$C$25</definedName>
    <definedName name="Gam">'Example 7.2 - Pipe P1'!$C$5</definedName>
    <definedName name="gc">'Example 7.2 - Pipe P1'!$C$6</definedName>
    <definedName name="h_1">'Example 7.2 - Pipe P1'!$C$139</definedName>
    <definedName name="h_2">'Example 7.2 - Pipe P1'!$C$175</definedName>
    <definedName name="ho_1">'Example 7.2 - Pipe P1'!$C$141</definedName>
    <definedName name="ho_2">'Example 7.2 - Pipe P1'!$C$152</definedName>
    <definedName name="L">'Example 7.2 - Pipe P1'!$C$15</definedName>
    <definedName name="M_1">'Example 7.2 - Pipe P1'!$C$99</definedName>
    <definedName name="M_2">'Example 7.2 - Pipe P1'!$C$83</definedName>
    <definedName name="M_3">'Graph Data'!$F$13</definedName>
    <definedName name="mdot">'Example 7.2 - Pipe P1'!$C$117</definedName>
    <definedName name="P_1">'Example 7.2 - Pipe P1'!$C$122</definedName>
    <definedName name="P_2">'Example 7.2 - Pipe P1'!$C$159</definedName>
    <definedName name="Po_1">'Example 7.2 - Pipe P1'!$C$37</definedName>
    <definedName name="Po_2">'Example 7.2 - Pipe P1'!$C$164</definedName>
    <definedName name="Rg">'Example 7.2 - Pipe P1'!$C$3</definedName>
    <definedName name="rho_1">'Example 7.2 - Pipe P1'!$C$127</definedName>
    <definedName name="rho_2">'Example 7.2 - Pipe P1'!$C$170</definedName>
    <definedName name="T_1">'Example 7.2 - Pipe P1'!$C$124</definedName>
    <definedName name="T_2">'Example 7.2 - Pipe P1'!$C$161</definedName>
    <definedName name="To_1">'Example 7.2 - Pipe P1'!$C$41</definedName>
    <definedName name="To_2">'Example 7.2 - Pipe P1'!$C$166</definedName>
    <definedName name="V_1">'Example 7.2 - Pipe P1'!$C$129</definedName>
    <definedName name="V_2">'Example 7.2 - Pipe P1'!$C$172</definedName>
    <definedName name="Z">'Example 7.2 - Pipe P1'!$C$42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 s="1"/>
  <c r="J3" i="3"/>
  <c r="AD3" i="3" s="1"/>
  <c r="F11" i="3"/>
  <c r="AB11" i="3" s="1"/>
  <c r="A12" i="3"/>
  <c r="E12" i="3"/>
  <c r="G12" i="3"/>
  <c r="AB12" i="3"/>
  <c r="D13" i="3"/>
  <c r="AB13" i="3"/>
  <c r="F14" i="3"/>
  <c r="G14" i="3"/>
  <c r="P14" i="3"/>
  <c r="P15" i="3" s="1"/>
  <c r="Q14" i="3"/>
  <c r="Q15" i="3" s="1"/>
  <c r="R14" i="3"/>
  <c r="S14" i="3"/>
  <c r="G70" i="3"/>
  <c r="AB70" i="3"/>
  <c r="F4" i="3" l="1"/>
  <c r="AB3" i="3"/>
  <c r="AD13" i="3"/>
  <c r="S15" i="3"/>
  <c r="Q16" i="3"/>
  <c r="R15" i="3"/>
  <c r="P16" i="3"/>
  <c r="F15" i="3"/>
  <c r="AB14" i="3"/>
  <c r="G11" i="3"/>
  <c r="K3" i="3"/>
  <c r="L14" i="3"/>
  <c r="AB4" i="3"/>
  <c r="N172" i="1"/>
  <c r="N173" i="1"/>
  <c r="N171" i="1"/>
  <c r="N170" i="1"/>
  <c r="N165" i="1"/>
  <c r="N166" i="1"/>
  <c r="N167" i="1"/>
  <c r="N168" i="1"/>
  <c r="N164" i="1"/>
  <c r="G4" i="3" l="1"/>
  <c r="F5" i="3"/>
  <c r="M14" i="3"/>
  <c r="O14" i="3" s="1"/>
  <c r="N14" i="3"/>
  <c r="AB15" i="3"/>
  <c r="G15" i="3"/>
  <c r="F16" i="3"/>
  <c r="L15" i="3"/>
  <c r="R16" i="3"/>
  <c r="P17" i="3"/>
  <c r="Q17" i="3"/>
  <c r="S16" i="3"/>
  <c r="C38" i="1"/>
  <c r="F6" i="3" l="1"/>
  <c r="G5" i="3"/>
  <c r="AB5" i="3"/>
  <c r="R17" i="3"/>
  <c r="P18" i="3"/>
  <c r="M15" i="3"/>
  <c r="O15" i="3" s="1"/>
  <c r="N15" i="3"/>
  <c r="F17" i="3"/>
  <c r="AB16" i="3"/>
  <c r="G16" i="3"/>
  <c r="S17" i="3"/>
  <c r="Q18" i="3"/>
  <c r="L16" i="3"/>
  <c r="C84" i="1"/>
  <c r="AB6" i="3" l="1"/>
  <c r="G6" i="3"/>
  <c r="F7" i="3"/>
  <c r="M16" i="3"/>
  <c r="O16" i="3" s="1"/>
  <c r="N16" i="3"/>
  <c r="S18" i="3"/>
  <c r="Q19" i="3"/>
  <c r="G17" i="3"/>
  <c r="F18" i="3"/>
  <c r="AB17" i="3"/>
  <c r="L17" i="3"/>
  <c r="R18" i="3"/>
  <c r="P19" i="3"/>
  <c r="C46" i="1"/>
  <c r="C48" i="1" s="1"/>
  <c r="C47" i="1"/>
  <c r="C101" i="1"/>
  <c r="C115" i="1"/>
  <c r="G7" i="3" l="1"/>
  <c r="F8" i="3"/>
  <c r="AB7" i="3"/>
  <c r="S19" i="3"/>
  <c r="Q20" i="3"/>
  <c r="AB18" i="3"/>
  <c r="G18" i="3"/>
  <c r="F19" i="3"/>
  <c r="L18" i="3"/>
  <c r="P20" i="3"/>
  <c r="R19" i="3"/>
  <c r="M17" i="3"/>
  <c r="O17" i="3" s="1"/>
  <c r="N17" i="3"/>
  <c r="B178" i="1"/>
  <c r="B176" i="1"/>
  <c r="B173" i="1"/>
  <c r="B171" i="1"/>
  <c r="B168" i="1"/>
  <c r="B165" i="1"/>
  <c r="B163" i="1"/>
  <c r="B160" i="1"/>
  <c r="B153" i="1"/>
  <c r="B142" i="1"/>
  <c r="B140" i="1"/>
  <c r="B132" i="1"/>
  <c r="B130" i="1"/>
  <c r="B128" i="1"/>
  <c r="B126" i="1"/>
  <c r="B123" i="1"/>
  <c r="F9" i="3" l="1"/>
  <c r="G8" i="3"/>
  <c r="AB8" i="3"/>
  <c r="G19" i="3"/>
  <c r="F20" i="3"/>
  <c r="AB19" i="3"/>
  <c r="R20" i="3"/>
  <c r="P21" i="3"/>
  <c r="L20" i="3"/>
  <c r="S20" i="3"/>
  <c r="Q21" i="3"/>
  <c r="L19" i="3"/>
  <c r="M18" i="3"/>
  <c r="O18" i="3" s="1"/>
  <c r="N18" i="3"/>
  <c r="C40" i="1"/>
  <c r="C18" i="1"/>
  <c r="C22" i="1" s="1"/>
  <c r="C21" i="1"/>
  <c r="C23" i="1" s="1"/>
  <c r="C82" i="1" s="1"/>
  <c r="C85" i="1" s="1"/>
  <c r="C19" i="1"/>
  <c r="C16" i="1"/>
  <c r="C12" i="1"/>
  <c r="C4" i="1"/>
  <c r="C41" i="1"/>
  <c r="C122" i="1"/>
  <c r="H3" i="3" s="1"/>
  <c r="AB9" i="3" l="1"/>
  <c r="G9" i="3"/>
  <c r="F10" i="3"/>
  <c r="N20" i="3"/>
  <c r="M20" i="3"/>
  <c r="O20" i="3" s="1"/>
  <c r="P22" i="3"/>
  <c r="R21" i="3"/>
  <c r="D70" i="3"/>
  <c r="D5" i="3"/>
  <c r="D14" i="3"/>
  <c r="D4" i="3"/>
  <c r="D11" i="3"/>
  <c r="D6" i="3"/>
  <c r="D15" i="3"/>
  <c r="D7" i="3"/>
  <c r="D16" i="3"/>
  <c r="D8" i="3"/>
  <c r="D17" i="3"/>
  <c r="D9" i="3"/>
  <c r="D18" i="3"/>
  <c r="D19" i="3"/>
  <c r="M19" i="3"/>
  <c r="O19" i="3" s="1"/>
  <c r="N19" i="3"/>
  <c r="AE19" i="3"/>
  <c r="AC13" i="3"/>
  <c r="I3" i="3"/>
  <c r="AC3" i="3"/>
  <c r="C117" i="1"/>
  <c r="P3" i="3"/>
  <c r="Q22" i="3"/>
  <c r="S21" i="3"/>
  <c r="AB20" i="3"/>
  <c r="D20" i="3"/>
  <c r="G20" i="3"/>
  <c r="F21" i="3"/>
  <c r="D10" i="3"/>
  <c r="C123" i="1"/>
  <c r="C124" i="1"/>
  <c r="L3" i="3" s="1"/>
  <c r="AE20" i="3" s="1"/>
  <c r="C20" i="1"/>
  <c r="C24" i="1" s="1"/>
  <c r="C98" i="1"/>
  <c r="C102" i="1" s="1"/>
  <c r="C159" i="1"/>
  <c r="AB10" i="3" l="1"/>
  <c r="G10" i="3"/>
  <c r="AA11" i="3"/>
  <c r="E11" i="3"/>
  <c r="F22" i="3"/>
  <c r="L22" i="3" s="1"/>
  <c r="AB21" i="3"/>
  <c r="D21" i="3"/>
  <c r="G21" i="3"/>
  <c r="J21" i="3" s="1"/>
  <c r="AA14" i="3"/>
  <c r="E14" i="3"/>
  <c r="AA12" i="3"/>
  <c r="AA3" i="3"/>
  <c r="AA70" i="3"/>
  <c r="E70" i="3"/>
  <c r="AA13" i="3"/>
  <c r="AA9" i="3"/>
  <c r="E9" i="3"/>
  <c r="AA5" i="3"/>
  <c r="E5" i="3"/>
  <c r="E17" i="3"/>
  <c r="AA17" i="3"/>
  <c r="L21" i="3"/>
  <c r="AA4" i="3"/>
  <c r="E4" i="3"/>
  <c r="J16" i="3"/>
  <c r="J14" i="3"/>
  <c r="J19" i="3"/>
  <c r="J17" i="3"/>
  <c r="J15" i="3"/>
  <c r="J20" i="3"/>
  <c r="J4" i="3"/>
  <c r="J18" i="3"/>
  <c r="E8" i="3"/>
  <c r="AA8" i="3"/>
  <c r="R22" i="3"/>
  <c r="P23" i="3"/>
  <c r="AA20" i="3"/>
  <c r="E20" i="3"/>
  <c r="Q3" i="3"/>
  <c r="R3" i="3"/>
  <c r="P4" i="3"/>
  <c r="AA16" i="3"/>
  <c r="E16" i="3"/>
  <c r="AA19" i="3"/>
  <c r="E19" i="3"/>
  <c r="S22" i="3"/>
  <c r="Q23" i="3"/>
  <c r="AA7" i="3"/>
  <c r="E7" i="3"/>
  <c r="AA6" i="3"/>
  <c r="E6" i="3"/>
  <c r="AA18" i="3"/>
  <c r="E18" i="3"/>
  <c r="AE3" i="3"/>
  <c r="AE13" i="3"/>
  <c r="M3" i="3"/>
  <c r="O3" i="3" s="1"/>
  <c r="N3" i="3"/>
  <c r="AE14" i="3"/>
  <c r="AE15" i="3"/>
  <c r="AE16" i="3"/>
  <c r="AE17" i="3"/>
  <c r="AE18" i="3"/>
  <c r="AA10" i="3"/>
  <c r="E10" i="3"/>
  <c r="E15" i="3"/>
  <c r="AA15" i="3"/>
  <c r="C125" i="1"/>
  <c r="C126" i="1" s="1"/>
  <c r="C160" i="1"/>
  <c r="C164" i="1"/>
  <c r="C165" i="1" s="1"/>
  <c r="C127" i="1"/>
  <c r="T3" i="3" s="1"/>
  <c r="C139" i="1"/>
  <c r="C140" i="1" s="1"/>
  <c r="C161" i="1"/>
  <c r="K21" i="3" l="1"/>
  <c r="AD21" i="3"/>
  <c r="H21" i="3"/>
  <c r="K16" i="3"/>
  <c r="AD16" i="3"/>
  <c r="H16" i="3"/>
  <c r="M21" i="3"/>
  <c r="O21" i="3" s="1"/>
  <c r="N21" i="3"/>
  <c r="AE21" i="3"/>
  <c r="AD4" i="3"/>
  <c r="H4" i="3"/>
  <c r="K4" i="3"/>
  <c r="AA21" i="3"/>
  <c r="E21" i="3"/>
  <c r="S23" i="3"/>
  <c r="Q24" i="3"/>
  <c r="H14" i="3"/>
  <c r="K14" i="3"/>
  <c r="AD14" i="3"/>
  <c r="AF3" i="3"/>
  <c r="U3" i="3"/>
  <c r="AF13" i="3"/>
  <c r="V3" i="3"/>
  <c r="H19" i="3"/>
  <c r="K19" i="3"/>
  <c r="AD19" i="3"/>
  <c r="R23" i="3"/>
  <c r="P24" i="3"/>
  <c r="AD17" i="3"/>
  <c r="H17" i="3"/>
  <c r="K17" i="3"/>
  <c r="D22" i="3"/>
  <c r="G22" i="3"/>
  <c r="J22" i="3" s="1"/>
  <c r="F23" i="3"/>
  <c r="AB22" i="3"/>
  <c r="L4" i="3"/>
  <c r="R4" i="3"/>
  <c r="P5" i="3"/>
  <c r="AD20" i="3"/>
  <c r="H20" i="3"/>
  <c r="K20" i="3"/>
  <c r="AE22" i="3"/>
  <c r="M22" i="3"/>
  <c r="O22" i="3" s="1"/>
  <c r="N22" i="3"/>
  <c r="AD15" i="3"/>
  <c r="H15" i="3"/>
  <c r="K15" i="3"/>
  <c r="S3" i="3"/>
  <c r="Q4" i="3"/>
  <c r="AD18" i="3"/>
  <c r="H18" i="3"/>
  <c r="K18" i="3"/>
  <c r="C128" i="1"/>
  <c r="M164" i="1"/>
  <c r="M165" i="1" s="1"/>
  <c r="C166" i="1"/>
  <c r="M166" i="1" s="1"/>
  <c r="M167" i="1" s="1"/>
  <c r="M168" i="1" s="1"/>
  <c r="C170" i="1"/>
  <c r="C162" i="1"/>
  <c r="C163" i="1" s="1"/>
  <c r="W3" i="3" l="1"/>
  <c r="X3" i="3"/>
  <c r="AD22" i="3"/>
  <c r="H22" i="3"/>
  <c r="K22" i="3"/>
  <c r="AC15" i="3"/>
  <c r="T15" i="3"/>
  <c r="I15" i="3"/>
  <c r="V15" i="3"/>
  <c r="F24" i="3"/>
  <c r="AB23" i="3"/>
  <c r="D23" i="3"/>
  <c r="G23" i="3"/>
  <c r="J23" i="3" s="1"/>
  <c r="AC18" i="3"/>
  <c r="T18" i="3"/>
  <c r="I18" i="3"/>
  <c r="V18" i="3"/>
  <c r="S24" i="3"/>
  <c r="Q25" i="3"/>
  <c r="AC4" i="3"/>
  <c r="T4" i="3"/>
  <c r="V4" i="3"/>
  <c r="I4" i="3"/>
  <c r="T17" i="3"/>
  <c r="V17" i="3" s="1"/>
  <c r="I17" i="3"/>
  <c r="AC17" i="3"/>
  <c r="AC16" i="3"/>
  <c r="I16" i="3"/>
  <c r="T16" i="3"/>
  <c r="I21" i="3"/>
  <c r="AC21" i="3"/>
  <c r="T21" i="3"/>
  <c r="V21" i="3" s="1"/>
  <c r="E22" i="3"/>
  <c r="AA22" i="3"/>
  <c r="AC20" i="3"/>
  <c r="T20" i="3"/>
  <c r="V20" i="3" s="1"/>
  <c r="I20" i="3"/>
  <c r="R24" i="3"/>
  <c r="P25" i="3"/>
  <c r="P6" i="3"/>
  <c r="L5" i="3"/>
  <c r="R5" i="3"/>
  <c r="J5" i="3"/>
  <c r="M4" i="3"/>
  <c r="O4" i="3" s="1"/>
  <c r="N4" i="3"/>
  <c r="AE4" i="3"/>
  <c r="T19" i="3"/>
  <c r="V19" i="3" s="1"/>
  <c r="I19" i="3"/>
  <c r="AC19" i="3"/>
  <c r="T14" i="3"/>
  <c r="I14" i="3"/>
  <c r="V14" i="3"/>
  <c r="AC14" i="3"/>
  <c r="S4" i="3"/>
  <c r="Q5" i="3"/>
  <c r="L23" i="3"/>
  <c r="C171" i="1"/>
  <c r="C172" i="1"/>
  <c r="C177" i="1" s="1"/>
  <c r="M170" i="1"/>
  <c r="C167" i="1"/>
  <c r="C168" i="1" s="1"/>
  <c r="C129" i="1"/>
  <c r="C131" i="1" s="1"/>
  <c r="C132" i="1" s="1"/>
  <c r="C118" i="1"/>
  <c r="W21" i="3" l="1"/>
  <c r="X21" i="3"/>
  <c r="M5" i="3"/>
  <c r="O5" i="3" s="1"/>
  <c r="N5" i="3"/>
  <c r="AE5" i="3"/>
  <c r="G24" i="3"/>
  <c r="J24" i="3" s="1"/>
  <c r="F25" i="3"/>
  <c r="L25" i="3" s="1"/>
  <c r="D24" i="3"/>
  <c r="AB24" i="3"/>
  <c r="U16" i="3"/>
  <c r="AF16" i="3"/>
  <c r="W4" i="3"/>
  <c r="X4" i="3"/>
  <c r="W15" i="3"/>
  <c r="X15" i="3"/>
  <c r="R25" i="3"/>
  <c r="P26" i="3"/>
  <c r="W18" i="3"/>
  <c r="X18" i="3"/>
  <c r="V16" i="3"/>
  <c r="AF15" i="3"/>
  <c r="U15" i="3"/>
  <c r="AF20" i="3"/>
  <c r="U20" i="3"/>
  <c r="AC22" i="3"/>
  <c r="T22" i="3"/>
  <c r="I22" i="3"/>
  <c r="V22" i="3"/>
  <c r="W14" i="3"/>
  <c r="X14" i="3"/>
  <c r="U14" i="3"/>
  <c r="AF14" i="3"/>
  <c r="W19" i="3"/>
  <c r="X19" i="3"/>
  <c r="S5" i="3"/>
  <c r="Q6" i="3"/>
  <c r="W17" i="3"/>
  <c r="X17" i="3"/>
  <c r="U21" i="3"/>
  <c r="AF21" i="3"/>
  <c r="W20" i="3"/>
  <c r="X20" i="3"/>
  <c r="M23" i="3"/>
  <c r="O23" i="3" s="1"/>
  <c r="N23" i="3"/>
  <c r="AE23" i="3"/>
  <c r="K23" i="3"/>
  <c r="AD23" i="3"/>
  <c r="H23" i="3"/>
  <c r="AG3" i="3"/>
  <c r="AG13" i="3"/>
  <c r="Y3" i="3"/>
  <c r="R6" i="3"/>
  <c r="P7" i="3"/>
  <c r="L6" i="3"/>
  <c r="J6" i="3"/>
  <c r="AF4" i="3"/>
  <c r="U4" i="3"/>
  <c r="L24" i="3"/>
  <c r="S25" i="3"/>
  <c r="Q26" i="3"/>
  <c r="AF19" i="3"/>
  <c r="U19" i="3"/>
  <c r="AF18" i="3"/>
  <c r="U18" i="3"/>
  <c r="H5" i="3"/>
  <c r="K5" i="3"/>
  <c r="AD5" i="3"/>
  <c r="AF17" i="3"/>
  <c r="U17" i="3"/>
  <c r="AA23" i="3"/>
  <c r="E23" i="3"/>
  <c r="M171" i="1"/>
  <c r="M172" i="1"/>
  <c r="M173" i="1" s="1"/>
  <c r="C178" i="1"/>
  <c r="C173" i="1"/>
  <c r="C141" i="1"/>
  <c r="C142" i="1" s="1"/>
  <c r="C130" i="1"/>
  <c r="AD6" i="3" l="1"/>
  <c r="H6" i="3"/>
  <c r="K6" i="3"/>
  <c r="W16" i="3"/>
  <c r="X16" i="3"/>
  <c r="Y18" i="3"/>
  <c r="AG18" i="3"/>
  <c r="AG20" i="3"/>
  <c r="Y20" i="3"/>
  <c r="T5" i="3"/>
  <c r="I5" i="3"/>
  <c r="V5" i="3"/>
  <c r="AC5" i="3"/>
  <c r="AG14" i="3"/>
  <c r="Y14" i="3"/>
  <c r="H24" i="3"/>
  <c r="K24" i="3"/>
  <c r="AD24" i="3"/>
  <c r="AA24" i="3"/>
  <c r="E24" i="3"/>
  <c r="P8" i="3"/>
  <c r="L7" i="3"/>
  <c r="R7" i="3"/>
  <c r="J7" i="3"/>
  <c r="W22" i="3"/>
  <c r="X22" i="3"/>
  <c r="AB25" i="3"/>
  <c r="D25" i="3"/>
  <c r="G25" i="3"/>
  <c r="J25" i="3" s="1"/>
  <c r="F26" i="3"/>
  <c r="M25" i="3"/>
  <c r="O25" i="3" s="1"/>
  <c r="N25" i="3"/>
  <c r="AE25" i="3"/>
  <c r="AG17" i="3"/>
  <c r="Y17" i="3"/>
  <c r="AG15" i="3"/>
  <c r="Y15" i="3"/>
  <c r="S6" i="3"/>
  <c r="Q7" i="3"/>
  <c r="N6" i="3"/>
  <c r="AE6" i="3"/>
  <c r="M6" i="3"/>
  <c r="O6" i="3" s="1"/>
  <c r="P27" i="3"/>
  <c r="L26" i="3"/>
  <c r="R26" i="3"/>
  <c r="AF22" i="3"/>
  <c r="U22" i="3"/>
  <c r="Q27" i="3"/>
  <c r="S26" i="3"/>
  <c r="Y4" i="3"/>
  <c r="AG4" i="3"/>
  <c r="Y21" i="3"/>
  <c r="AG21" i="3"/>
  <c r="AC23" i="3"/>
  <c r="I23" i="3"/>
  <c r="T23" i="3"/>
  <c r="V23" i="3" s="1"/>
  <c r="AE24" i="3"/>
  <c r="M24" i="3"/>
  <c r="O24" i="3" s="1"/>
  <c r="N24" i="3"/>
  <c r="AG19" i="3"/>
  <c r="Y19" i="3"/>
  <c r="C152" i="1"/>
  <c r="C175" i="1" s="1"/>
  <c r="C176" i="1" s="1"/>
  <c r="W23" i="3" l="1"/>
  <c r="X23" i="3"/>
  <c r="R27" i="3"/>
  <c r="P28" i="3"/>
  <c r="L27" i="3"/>
  <c r="M7" i="3"/>
  <c r="O7" i="3" s="1"/>
  <c r="N7" i="3"/>
  <c r="AE7" i="3"/>
  <c r="R8" i="3"/>
  <c r="P9" i="3"/>
  <c r="L8" i="3"/>
  <c r="J8" i="3"/>
  <c r="F27" i="3"/>
  <c r="AB26" i="3"/>
  <c r="D26" i="3"/>
  <c r="G26" i="3"/>
  <c r="J26" i="3" s="1"/>
  <c r="AF23" i="3"/>
  <c r="U23" i="3"/>
  <c r="Y16" i="3"/>
  <c r="AG16" i="3"/>
  <c r="Q8" i="3"/>
  <c r="S7" i="3"/>
  <c r="W5" i="3"/>
  <c r="X5" i="3"/>
  <c r="AF5" i="3"/>
  <c r="U5" i="3"/>
  <c r="AA25" i="3"/>
  <c r="E25" i="3"/>
  <c r="AC6" i="3"/>
  <c r="T6" i="3"/>
  <c r="I6" i="3"/>
  <c r="V6" i="3"/>
  <c r="K7" i="3"/>
  <c r="AD7" i="3"/>
  <c r="H7" i="3"/>
  <c r="M26" i="3"/>
  <c r="O26" i="3" s="1"/>
  <c r="N26" i="3"/>
  <c r="AE26" i="3"/>
  <c r="AD25" i="3"/>
  <c r="H25" i="3"/>
  <c r="K25" i="3"/>
  <c r="T24" i="3"/>
  <c r="I24" i="3"/>
  <c r="V24" i="3"/>
  <c r="AC24" i="3"/>
  <c r="S27" i="3"/>
  <c r="Q28" i="3"/>
  <c r="AG22" i="3"/>
  <c r="Y22" i="3"/>
  <c r="C153" i="1"/>
  <c r="W6" i="3" l="1"/>
  <c r="X6" i="3"/>
  <c r="AC25" i="3"/>
  <c r="T25" i="3"/>
  <c r="I25" i="3"/>
  <c r="V25" i="3"/>
  <c r="H26" i="3"/>
  <c r="K26" i="3"/>
  <c r="AD26" i="3"/>
  <c r="L9" i="3"/>
  <c r="R9" i="3"/>
  <c r="P10" i="3"/>
  <c r="J9" i="3"/>
  <c r="AF6" i="3"/>
  <c r="U6" i="3"/>
  <c r="W24" i="3"/>
  <c r="X24" i="3"/>
  <c r="AA26" i="3"/>
  <c r="E26" i="3"/>
  <c r="L28" i="3"/>
  <c r="R28" i="3"/>
  <c r="P29" i="3"/>
  <c r="AG5" i="3"/>
  <c r="Y5" i="3"/>
  <c r="AB27" i="3"/>
  <c r="D27" i="3"/>
  <c r="G27" i="3"/>
  <c r="J27" i="3" s="1"/>
  <c r="F28" i="3"/>
  <c r="Y23" i="3"/>
  <c r="AG23" i="3"/>
  <c r="AE8" i="3"/>
  <c r="M8" i="3"/>
  <c r="O8" i="3" s="1"/>
  <c r="N8" i="3"/>
  <c r="S8" i="3"/>
  <c r="Q9" i="3"/>
  <c r="AF24" i="3"/>
  <c r="U24" i="3"/>
  <c r="AE27" i="3"/>
  <c r="M27" i="3"/>
  <c r="O27" i="3" s="1"/>
  <c r="N27" i="3"/>
  <c r="Q29" i="3"/>
  <c r="S28" i="3"/>
  <c r="I7" i="3"/>
  <c r="AC7" i="3"/>
  <c r="T7" i="3"/>
  <c r="V7" i="3" s="1"/>
  <c r="AD8" i="3"/>
  <c r="H8" i="3"/>
  <c r="K8" i="3"/>
  <c r="W7" i="3" l="1"/>
  <c r="X7" i="3"/>
  <c r="M9" i="3"/>
  <c r="O9" i="3" s="1"/>
  <c r="N9" i="3"/>
  <c r="AE9" i="3"/>
  <c r="F29" i="3"/>
  <c r="AB28" i="3"/>
  <c r="D28" i="3"/>
  <c r="G28" i="3"/>
  <c r="J28" i="3" s="1"/>
  <c r="U7" i="3"/>
  <c r="AF7" i="3"/>
  <c r="W25" i="3"/>
  <c r="X25" i="3"/>
  <c r="E27" i="3"/>
  <c r="AA27" i="3"/>
  <c r="R10" i="3"/>
  <c r="P11" i="3"/>
  <c r="L10" i="3"/>
  <c r="J10" i="3"/>
  <c r="R29" i="3"/>
  <c r="P30" i="3"/>
  <c r="L29" i="3"/>
  <c r="M28" i="3"/>
  <c r="O28" i="3" s="1"/>
  <c r="N28" i="3"/>
  <c r="AE28" i="3"/>
  <c r="S29" i="3"/>
  <c r="Q30" i="3"/>
  <c r="AG24" i="3"/>
  <c r="Y24" i="3"/>
  <c r="AC8" i="3"/>
  <c r="T8" i="3"/>
  <c r="I8" i="3"/>
  <c r="V8" i="3"/>
  <c r="AG6" i="3"/>
  <c r="Y6" i="3"/>
  <c r="T26" i="3"/>
  <c r="V26" i="3" s="1"/>
  <c r="I26" i="3"/>
  <c r="AC26" i="3"/>
  <c r="AD27" i="3"/>
  <c r="H27" i="3"/>
  <c r="K27" i="3"/>
  <c r="AF25" i="3"/>
  <c r="U25" i="3"/>
  <c r="S9" i="3"/>
  <c r="Q10" i="3"/>
  <c r="K9" i="3"/>
  <c r="AD9" i="3"/>
  <c r="H9" i="3"/>
  <c r="K28" i="3" l="1"/>
  <c r="AD28" i="3"/>
  <c r="H28" i="3"/>
  <c r="AE29" i="3"/>
  <c r="M29" i="3"/>
  <c r="O29" i="3" s="1"/>
  <c r="N29" i="3"/>
  <c r="AF8" i="3"/>
  <c r="U8" i="3"/>
  <c r="W8" i="3"/>
  <c r="X8" i="3"/>
  <c r="L30" i="3"/>
  <c r="R30" i="3"/>
  <c r="P31" i="3"/>
  <c r="AC27" i="3"/>
  <c r="T27" i="3"/>
  <c r="I27" i="3"/>
  <c r="V27" i="3"/>
  <c r="S30" i="3"/>
  <c r="Q31" i="3"/>
  <c r="S10" i="3"/>
  <c r="Q11" i="3"/>
  <c r="H10" i="3"/>
  <c r="K10" i="3"/>
  <c r="AD10" i="3"/>
  <c r="R11" i="3"/>
  <c r="P12" i="3"/>
  <c r="L11" i="3"/>
  <c r="J11" i="3"/>
  <c r="U26" i="3"/>
  <c r="AF26" i="3"/>
  <c r="Y25" i="3"/>
  <c r="AG25" i="3"/>
  <c r="Y7" i="3"/>
  <c r="AG7" i="3"/>
  <c r="AA28" i="3"/>
  <c r="E28" i="3"/>
  <c r="AE10" i="3"/>
  <c r="M10" i="3"/>
  <c r="O10" i="3" s="1"/>
  <c r="N10" i="3"/>
  <c r="G29" i="3"/>
  <c r="J29" i="3" s="1"/>
  <c r="F30" i="3"/>
  <c r="AB29" i="3"/>
  <c r="D29" i="3"/>
  <c r="W26" i="3"/>
  <c r="X26" i="3"/>
  <c r="AC9" i="3"/>
  <c r="I9" i="3"/>
  <c r="T9" i="3"/>
  <c r="V9" i="3" s="1"/>
  <c r="AG26" i="3" l="1"/>
  <c r="Y26" i="3"/>
  <c r="AB30" i="3"/>
  <c r="D30" i="3"/>
  <c r="G30" i="3"/>
  <c r="J30" i="3" s="1"/>
  <c r="F31" i="3"/>
  <c r="M30" i="3"/>
  <c r="O30" i="3" s="1"/>
  <c r="N30" i="3"/>
  <c r="AE30" i="3"/>
  <c r="M11" i="3"/>
  <c r="O11" i="3" s="1"/>
  <c r="N11" i="3"/>
  <c r="AE11" i="3"/>
  <c r="T10" i="3"/>
  <c r="I10" i="3"/>
  <c r="V10" i="3"/>
  <c r="AC10" i="3"/>
  <c r="AG8" i="3"/>
  <c r="Y8" i="3"/>
  <c r="AD11" i="3"/>
  <c r="H11" i="3"/>
  <c r="K11" i="3"/>
  <c r="AC28" i="3"/>
  <c r="T28" i="3"/>
  <c r="V28" i="3" s="1"/>
  <c r="I28" i="3"/>
  <c r="E29" i="3"/>
  <c r="AA29" i="3"/>
  <c r="S31" i="3"/>
  <c r="Q32" i="3"/>
  <c r="W27" i="3"/>
  <c r="X27" i="3"/>
  <c r="W9" i="3"/>
  <c r="X9" i="3"/>
  <c r="S11" i="3"/>
  <c r="Q12" i="3"/>
  <c r="S12" i="3" s="1"/>
  <c r="AD29" i="3"/>
  <c r="H29" i="3"/>
  <c r="K29" i="3"/>
  <c r="AF27" i="3"/>
  <c r="U27" i="3"/>
  <c r="L12" i="3"/>
  <c r="R12" i="3"/>
  <c r="J12" i="3"/>
  <c r="AF9" i="3"/>
  <c r="U9" i="3"/>
  <c r="P32" i="3"/>
  <c r="L31" i="3"/>
  <c r="R31" i="3"/>
  <c r="W28" i="3" l="1"/>
  <c r="X28" i="3"/>
  <c r="Y9" i="3"/>
  <c r="AG9" i="3"/>
  <c r="AG27" i="3"/>
  <c r="Y27" i="3"/>
  <c r="AD30" i="3"/>
  <c r="H30" i="3"/>
  <c r="K30" i="3"/>
  <c r="AA30" i="3"/>
  <c r="E30" i="3"/>
  <c r="R32" i="3"/>
  <c r="P33" i="3"/>
  <c r="AC11" i="3"/>
  <c r="T11" i="3"/>
  <c r="I11" i="3"/>
  <c r="V11" i="3"/>
  <c r="M12" i="3"/>
  <c r="O12" i="3" s="1"/>
  <c r="N12" i="3"/>
  <c r="AE12" i="3"/>
  <c r="T29" i="3"/>
  <c r="I29" i="3"/>
  <c r="AC29" i="3"/>
  <c r="AF10" i="3"/>
  <c r="U10" i="3"/>
  <c r="M31" i="3"/>
  <c r="O31" i="3" s="1"/>
  <c r="AE31" i="3"/>
  <c r="N31" i="3"/>
  <c r="K12" i="3"/>
  <c r="AD12" i="3"/>
  <c r="H12" i="3"/>
  <c r="G31" i="3"/>
  <c r="J31" i="3" s="1"/>
  <c r="F32" i="3"/>
  <c r="D31" i="3"/>
  <c r="AB31" i="3"/>
  <c r="S32" i="3"/>
  <c r="Q33" i="3"/>
  <c r="W10" i="3"/>
  <c r="X10" i="3"/>
  <c r="U28" i="3"/>
  <c r="AF28" i="3"/>
  <c r="I12" i="3" l="1"/>
  <c r="AC12" i="3"/>
  <c r="T12" i="3"/>
  <c r="V12" i="3" s="1"/>
  <c r="AF29" i="3"/>
  <c r="U29" i="3"/>
  <c r="AG10" i="3"/>
  <c r="Y10" i="3"/>
  <c r="AC30" i="3"/>
  <c r="I30" i="3"/>
  <c r="T30" i="3"/>
  <c r="V30" i="3"/>
  <c r="AF11" i="3"/>
  <c r="U11" i="3"/>
  <c r="AB32" i="3"/>
  <c r="D32" i="3"/>
  <c r="G32" i="3"/>
  <c r="J32" i="3" s="1"/>
  <c r="F33" i="3"/>
  <c r="Y28" i="3"/>
  <c r="AG28" i="3"/>
  <c r="H31" i="3"/>
  <c r="K31" i="3"/>
  <c r="AD31" i="3"/>
  <c r="W11" i="3"/>
  <c r="X11" i="3"/>
  <c r="Q34" i="3"/>
  <c r="S33" i="3"/>
  <c r="E31" i="3"/>
  <c r="AA31" i="3"/>
  <c r="P34" i="3"/>
  <c r="L33" i="3"/>
  <c r="R33" i="3"/>
  <c r="V29" i="3"/>
  <c r="L32" i="3"/>
  <c r="W12" i="3" l="1"/>
  <c r="X12" i="3"/>
  <c r="N32" i="3"/>
  <c r="AE32" i="3"/>
  <c r="M32" i="3"/>
  <c r="O32" i="3" s="1"/>
  <c r="W30" i="3"/>
  <c r="X30" i="3"/>
  <c r="W29" i="3"/>
  <c r="X29" i="3"/>
  <c r="M33" i="3"/>
  <c r="O33" i="3" s="1"/>
  <c r="N33" i="3"/>
  <c r="AE33" i="3"/>
  <c r="R34" i="3"/>
  <c r="P35" i="3"/>
  <c r="F34" i="3"/>
  <c r="AB33" i="3"/>
  <c r="D33" i="3"/>
  <c r="G33" i="3"/>
  <c r="J33" i="3" s="1"/>
  <c r="AD32" i="3"/>
  <c r="H32" i="3"/>
  <c r="K32" i="3"/>
  <c r="T31" i="3"/>
  <c r="I31" i="3"/>
  <c r="V31" i="3"/>
  <c r="AC31" i="3"/>
  <c r="AA32" i="3"/>
  <c r="E32" i="3"/>
  <c r="S34" i="3"/>
  <c r="Q35" i="3"/>
  <c r="Y11" i="3"/>
  <c r="AG11" i="3"/>
  <c r="U30" i="3"/>
  <c r="AF30" i="3"/>
  <c r="U12" i="3"/>
  <c r="AF12" i="3"/>
  <c r="AC32" i="3" l="1"/>
  <c r="T32" i="3"/>
  <c r="I32" i="3"/>
  <c r="V32" i="3"/>
  <c r="S35" i="3"/>
  <c r="Q36" i="3"/>
  <c r="AG29" i="3"/>
  <c r="Y29" i="3"/>
  <c r="Y30" i="3"/>
  <c r="AG30" i="3"/>
  <c r="W31" i="3"/>
  <c r="X31" i="3"/>
  <c r="K33" i="3"/>
  <c r="H33" i="3"/>
  <c r="AD33" i="3"/>
  <c r="D34" i="3"/>
  <c r="G34" i="3"/>
  <c r="J34" i="3" s="1"/>
  <c r="AB34" i="3"/>
  <c r="F35" i="3"/>
  <c r="L35" i="3"/>
  <c r="R35" i="3"/>
  <c r="P36" i="3"/>
  <c r="Y12" i="3"/>
  <c r="AG12" i="3"/>
  <c r="AA33" i="3"/>
  <c r="E33" i="3"/>
  <c r="L34" i="3"/>
  <c r="AF31" i="3"/>
  <c r="U31" i="3"/>
  <c r="AG31" i="3" l="1"/>
  <c r="Y31" i="3"/>
  <c r="E34" i="3"/>
  <c r="AA34" i="3"/>
  <c r="R36" i="3"/>
  <c r="P37" i="3"/>
  <c r="AD34" i="3"/>
  <c r="H34" i="3"/>
  <c r="K34" i="3"/>
  <c r="I33" i="3"/>
  <c r="T33" i="3"/>
  <c r="AC33" i="3"/>
  <c r="M35" i="3"/>
  <c r="O35" i="3" s="1"/>
  <c r="N35" i="3"/>
  <c r="AE35" i="3"/>
  <c r="F36" i="3"/>
  <c r="L36" i="3" s="1"/>
  <c r="AB35" i="3"/>
  <c r="D35" i="3"/>
  <c r="G35" i="3"/>
  <c r="J35" i="3" s="1"/>
  <c r="S36" i="3"/>
  <c r="Q37" i="3"/>
  <c r="AE34" i="3"/>
  <c r="M34" i="3"/>
  <c r="O34" i="3" s="1"/>
  <c r="N34" i="3"/>
  <c r="W32" i="3"/>
  <c r="X32" i="3"/>
  <c r="AF32" i="3"/>
  <c r="U32" i="3"/>
  <c r="AE36" i="3" l="1"/>
  <c r="M36" i="3"/>
  <c r="O36" i="3" s="1"/>
  <c r="N36" i="3"/>
  <c r="AA35" i="3"/>
  <c r="E35" i="3"/>
  <c r="K35" i="3"/>
  <c r="AD35" i="3"/>
  <c r="H35" i="3"/>
  <c r="AC34" i="3"/>
  <c r="T34" i="3"/>
  <c r="V34" i="3" s="1"/>
  <c r="I34" i="3"/>
  <c r="G36" i="3"/>
  <c r="J36" i="3" s="1"/>
  <c r="F37" i="3"/>
  <c r="D36" i="3"/>
  <c r="AB36" i="3"/>
  <c r="AG32" i="3"/>
  <c r="Y32" i="3"/>
  <c r="R37" i="3"/>
  <c r="L37" i="3"/>
  <c r="P38" i="3"/>
  <c r="U33" i="3"/>
  <c r="AF33" i="3"/>
  <c r="S37" i="3"/>
  <c r="Q38" i="3"/>
  <c r="V33" i="3"/>
  <c r="W34" i="3" l="1"/>
  <c r="X34" i="3"/>
  <c r="R38" i="3"/>
  <c r="P39" i="3"/>
  <c r="AC35" i="3"/>
  <c r="I35" i="3"/>
  <c r="T35" i="3"/>
  <c r="V35" i="3"/>
  <c r="W33" i="3"/>
  <c r="X33" i="3"/>
  <c r="Q39" i="3"/>
  <c r="S38" i="3"/>
  <c r="M37" i="3"/>
  <c r="O37" i="3" s="1"/>
  <c r="N37" i="3"/>
  <c r="AE37" i="3"/>
  <c r="AB37" i="3"/>
  <c r="D37" i="3"/>
  <c r="G37" i="3"/>
  <c r="J37" i="3" s="1"/>
  <c r="F38" i="3"/>
  <c r="AF34" i="3"/>
  <c r="U34" i="3"/>
  <c r="E36" i="3"/>
  <c r="AA36" i="3"/>
  <c r="H36" i="3"/>
  <c r="K36" i="3"/>
  <c r="AD36" i="3"/>
  <c r="D38" i="3" l="1"/>
  <c r="F39" i="3"/>
  <c r="G38" i="3"/>
  <c r="J38" i="3" s="1"/>
  <c r="AB38" i="3"/>
  <c r="AA37" i="3"/>
  <c r="E37" i="3"/>
  <c r="AD37" i="3"/>
  <c r="H37" i="3"/>
  <c r="K37" i="3"/>
  <c r="P40" i="3"/>
  <c r="L39" i="3"/>
  <c r="R39" i="3"/>
  <c r="Y33" i="3"/>
  <c r="AG33" i="3"/>
  <c r="W35" i="3"/>
  <c r="X35" i="3"/>
  <c r="AF35" i="3"/>
  <c r="U35" i="3"/>
  <c r="T36" i="3"/>
  <c r="V36" i="3" s="1"/>
  <c r="I36" i="3"/>
  <c r="AC36" i="3"/>
  <c r="L38" i="3"/>
  <c r="AG34" i="3"/>
  <c r="Y34" i="3"/>
  <c r="S39" i="3"/>
  <c r="Q40" i="3"/>
  <c r="M39" i="3" l="1"/>
  <c r="O39" i="3" s="1"/>
  <c r="N39" i="3"/>
  <c r="AE39" i="3"/>
  <c r="R40" i="3"/>
  <c r="P41" i="3"/>
  <c r="L40" i="3"/>
  <c r="Y35" i="3"/>
  <c r="AG35" i="3"/>
  <c r="S40" i="3"/>
  <c r="Q41" i="3"/>
  <c r="AC37" i="3"/>
  <c r="I37" i="3"/>
  <c r="T37" i="3"/>
  <c r="V37" i="3"/>
  <c r="AA38" i="3"/>
  <c r="E38" i="3"/>
  <c r="W36" i="3"/>
  <c r="X36" i="3"/>
  <c r="AF36" i="3"/>
  <c r="U36" i="3"/>
  <c r="H38" i="3"/>
  <c r="K38" i="3"/>
  <c r="AD38" i="3"/>
  <c r="D39" i="3"/>
  <c r="G39" i="3"/>
  <c r="J39" i="3" s="1"/>
  <c r="F40" i="3"/>
  <c r="AB39" i="3"/>
  <c r="M38" i="3"/>
  <c r="O38" i="3" s="1"/>
  <c r="N38" i="3"/>
  <c r="AE38" i="3"/>
  <c r="S41" i="3" l="1"/>
  <c r="Q42" i="3"/>
  <c r="T38" i="3"/>
  <c r="I38" i="3"/>
  <c r="V38" i="3"/>
  <c r="AC38" i="3"/>
  <c r="AE40" i="3"/>
  <c r="M40" i="3"/>
  <c r="O40" i="3" s="1"/>
  <c r="N40" i="3"/>
  <c r="R41" i="3"/>
  <c r="P42" i="3"/>
  <c r="W37" i="3"/>
  <c r="X37" i="3"/>
  <c r="H39" i="3"/>
  <c r="K39" i="3"/>
  <c r="AD39" i="3"/>
  <c r="AF37" i="3"/>
  <c r="U37" i="3"/>
  <c r="AG36" i="3"/>
  <c r="Y36" i="3"/>
  <c r="D40" i="3"/>
  <c r="G40" i="3"/>
  <c r="J40" i="3" s="1"/>
  <c r="F41" i="3"/>
  <c r="L41" i="3" s="1"/>
  <c r="AB40" i="3"/>
  <c r="E39" i="3"/>
  <c r="AA39" i="3"/>
  <c r="E40" i="3" l="1"/>
  <c r="AA40" i="3"/>
  <c r="AD40" i="3"/>
  <c r="H40" i="3"/>
  <c r="K40" i="3"/>
  <c r="R42" i="3"/>
  <c r="P43" i="3"/>
  <c r="T39" i="3"/>
  <c r="I39" i="3"/>
  <c r="V39" i="3"/>
  <c r="AC39" i="3"/>
  <c r="Y37" i="3"/>
  <c r="AG37" i="3"/>
  <c r="S42" i="3"/>
  <c r="Q43" i="3"/>
  <c r="M41" i="3"/>
  <c r="O41" i="3" s="1"/>
  <c r="N41" i="3"/>
  <c r="AE41" i="3"/>
  <c r="W38" i="3"/>
  <c r="X38" i="3"/>
  <c r="U38" i="3"/>
  <c r="AF38" i="3"/>
  <c r="F42" i="3"/>
  <c r="L42" i="3" s="1"/>
  <c r="AB41" i="3"/>
  <c r="D41" i="3"/>
  <c r="G41" i="3"/>
  <c r="J41" i="3" s="1"/>
  <c r="AG38" i="3" l="1"/>
  <c r="Y38" i="3"/>
  <c r="K41" i="3"/>
  <c r="AD41" i="3"/>
  <c r="H41" i="3"/>
  <c r="AA41" i="3"/>
  <c r="E41" i="3"/>
  <c r="W39" i="3"/>
  <c r="X39" i="3"/>
  <c r="U39" i="3"/>
  <c r="AF39" i="3"/>
  <c r="AE42" i="3"/>
  <c r="M42" i="3"/>
  <c r="O42" i="3" s="1"/>
  <c r="N42" i="3"/>
  <c r="R43" i="3"/>
  <c r="P44" i="3"/>
  <c r="L43" i="3"/>
  <c r="S43" i="3"/>
  <c r="Q44" i="3"/>
  <c r="AC40" i="3"/>
  <c r="T40" i="3"/>
  <c r="I40" i="3"/>
  <c r="V40" i="3"/>
  <c r="G42" i="3"/>
  <c r="J42" i="3" s="1"/>
  <c r="F43" i="3"/>
  <c r="AB42" i="3"/>
  <c r="D42" i="3"/>
  <c r="Y39" i="3" l="1"/>
  <c r="AG39" i="3"/>
  <c r="W40" i="3"/>
  <c r="X40" i="3"/>
  <c r="M43" i="3"/>
  <c r="O43" i="3" s="1"/>
  <c r="N43" i="3"/>
  <c r="AE43" i="3"/>
  <c r="P45" i="3"/>
  <c r="L44" i="3"/>
  <c r="R44" i="3"/>
  <c r="AA42" i="3"/>
  <c r="E42" i="3"/>
  <c r="AB43" i="3"/>
  <c r="D43" i="3"/>
  <c r="G43" i="3"/>
  <c r="J43" i="3" s="1"/>
  <c r="F44" i="3"/>
  <c r="AF40" i="3"/>
  <c r="U40" i="3"/>
  <c r="Q45" i="3"/>
  <c r="S44" i="3"/>
  <c r="AC41" i="3"/>
  <c r="I41" i="3"/>
  <c r="T41" i="3"/>
  <c r="V41" i="3" s="1"/>
  <c r="H42" i="3"/>
  <c r="K42" i="3"/>
  <c r="AD42" i="3"/>
  <c r="W41" i="3" l="1"/>
  <c r="X41" i="3"/>
  <c r="AD43" i="3"/>
  <c r="H43" i="3"/>
  <c r="K43" i="3"/>
  <c r="AG40" i="3"/>
  <c r="Y40" i="3"/>
  <c r="S45" i="3"/>
  <c r="Q46" i="3"/>
  <c r="T42" i="3"/>
  <c r="I42" i="3"/>
  <c r="AC42" i="3"/>
  <c r="M44" i="3"/>
  <c r="O44" i="3" s="1"/>
  <c r="N44" i="3"/>
  <c r="AE44" i="3"/>
  <c r="R45" i="3"/>
  <c r="P46" i="3"/>
  <c r="F45" i="3"/>
  <c r="L45" i="3" s="1"/>
  <c r="AB44" i="3"/>
  <c r="D44" i="3"/>
  <c r="G44" i="3"/>
  <c r="J44" i="3" s="1"/>
  <c r="AA43" i="3"/>
  <c r="E43" i="3"/>
  <c r="AF41" i="3"/>
  <c r="U41" i="3"/>
  <c r="AE45" i="3" l="1"/>
  <c r="M45" i="3"/>
  <c r="O45" i="3" s="1"/>
  <c r="N45" i="3"/>
  <c r="AF42" i="3"/>
  <c r="U42" i="3"/>
  <c r="V42" i="3"/>
  <c r="L46" i="3"/>
  <c r="R46" i="3"/>
  <c r="P47" i="3"/>
  <c r="Y41" i="3"/>
  <c r="AG41" i="3"/>
  <c r="AA44" i="3"/>
  <c r="E44" i="3"/>
  <c r="AB45" i="3"/>
  <c r="D45" i="3"/>
  <c r="G45" i="3"/>
  <c r="J45" i="3" s="1"/>
  <c r="F46" i="3"/>
  <c r="Q47" i="3"/>
  <c r="S46" i="3"/>
  <c r="AC43" i="3"/>
  <c r="T43" i="3"/>
  <c r="I43" i="3"/>
  <c r="H44" i="3"/>
  <c r="K44" i="3"/>
  <c r="AD44" i="3"/>
  <c r="M46" i="3" l="1"/>
  <c r="O46" i="3" s="1"/>
  <c r="N46" i="3"/>
  <c r="AE46" i="3"/>
  <c r="R47" i="3"/>
  <c r="P48" i="3"/>
  <c r="S47" i="3"/>
  <c r="Q48" i="3"/>
  <c r="F47" i="3"/>
  <c r="AB46" i="3"/>
  <c r="D46" i="3"/>
  <c r="G46" i="3"/>
  <c r="J46" i="3" s="1"/>
  <c r="W42" i="3"/>
  <c r="X42" i="3"/>
  <c r="E45" i="3"/>
  <c r="AA45" i="3"/>
  <c r="AF43" i="3"/>
  <c r="U43" i="3"/>
  <c r="AD45" i="3"/>
  <c r="H45" i="3"/>
  <c r="K45" i="3"/>
  <c r="T44" i="3"/>
  <c r="I44" i="3"/>
  <c r="AC44" i="3"/>
  <c r="V43" i="3"/>
  <c r="U44" i="3" l="1"/>
  <c r="AF44" i="3"/>
  <c r="G47" i="3"/>
  <c r="J47" i="3" s="1"/>
  <c r="F48" i="3"/>
  <c r="AB47" i="3"/>
  <c r="D47" i="3"/>
  <c r="L47" i="3"/>
  <c r="W43" i="3"/>
  <c r="X43" i="3"/>
  <c r="S48" i="3"/>
  <c r="Q49" i="3"/>
  <c r="K46" i="3"/>
  <c r="AD46" i="3"/>
  <c r="H46" i="3"/>
  <c r="AC45" i="3"/>
  <c r="T45" i="3"/>
  <c r="I45" i="3"/>
  <c r="V45" i="3"/>
  <c r="L48" i="3"/>
  <c r="R48" i="3"/>
  <c r="P49" i="3"/>
  <c r="AG42" i="3"/>
  <c r="Y42" i="3"/>
  <c r="V44" i="3"/>
  <c r="AA46" i="3"/>
  <c r="E46" i="3"/>
  <c r="P50" i="3" l="1"/>
  <c r="R49" i="3"/>
  <c r="E47" i="3"/>
  <c r="AA47" i="3"/>
  <c r="AE47" i="3"/>
  <c r="M47" i="3"/>
  <c r="O47" i="3" s="1"/>
  <c r="N47" i="3"/>
  <c r="AC46" i="3"/>
  <c r="T46" i="3"/>
  <c r="V46" i="3" s="1"/>
  <c r="I46" i="3"/>
  <c r="S49" i="3"/>
  <c r="Q50" i="3"/>
  <c r="Y43" i="3"/>
  <c r="AG43" i="3"/>
  <c r="M48" i="3"/>
  <c r="O48" i="3" s="1"/>
  <c r="N48" i="3"/>
  <c r="AE48" i="3"/>
  <c r="AF45" i="3"/>
  <c r="U45" i="3"/>
  <c r="AB48" i="3"/>
  <c r="D48" i="3"/>
  <c r="G48" i="3"/>
  <c r="J48" i="3" s="1"/>
  <c r="F49" i="3"/>
  <c r="W44" i="3"/>
  <c r="X44" i="3"/>
  <c r="W45" i="3"/>
  <c r="X45" i="3"/>
  <c r="AD47" i="3"/>
  <c r="H47" i="3"/>
  <c r="K47" i="3"/>
  <c r="W46" i="3" l="1"/>
  <c r="X46" i="3"/>
  <c r="T47" i="3"/>
  <c r="I47" i="3"/>
  <c r="V47" i="3"/>
  <c r="AC47" i="3"/>
  <c r="AG44" i="3"/>
  <c r="Y44" i="3"/>
  <c r="G49" i="3"/>
  <c r="J49" i="3" s="1"/>
  <c r="F50" i="3"/>
  <c r="AB49" i="3"/>
  <c r="D49" i="3"/>
  <c r="S50" i="3"/>
  <c r="Q51" i="3"/>
  <c r="AD48" i="3"/>
  <c r="H48" i="3"/>
  <c r="K48" i="3"/>
  <c r="L49" i="3"/>
  <c r="U46" i="3"/>
  <c r="AF46" i="3"/>
  <c r="AG45" i="3"/>
  <c r="Y45" i="3"/>
  <c r="AA48" i="3"/>
  <c r="E48" i="3"/>
  <c r="R50" i="3"/>
  <c r="P51" i="3"/>
  <c r="H49" i="3" l="1"/>
  <c r="K49" i="3"/>
  <c r="AD49" i="3"/>
  <c r="AF47" i="3"/>
  <c r="U47" i="3"/>
  <c r="M49" i="3"/>
  <c r="O49" i="3" s="1"/>
  <c r="N49" i="3"/>
  <c r="AE49" i="3"/>
  <c r="W47" i="3"/>
  <c r="X47" i="3"/>
  <c r="P52" i="3"/>
  <c r="L51" i="3"/>
  <c r="R51" i="3"/>
  <c r="Q52" i="3"/>
  <c r="S51" i="3"/>
  <c r="Y46" i="3"/>
  <c r="AG46" i="3"/>
  <c r="AB50" i="3"/>
  <c r="D50" i="3"/>
  <c r="G50" i="3"/>
  <c r="J50" i="3" s="1"/>
  <c r="F51" i="3"/>
  <c r="AC48" i="3"/>
  <c r="T48" i="3"/>
  <c r="V48" i="3" s="1"/>
  <c r="I48" i="3"/>
  <c r="L50" i="3"/>
  <c r="AA49" i="3"/>
  <c r="E49" i="3"/>
  <c r="M51" i="3" l="1"/>
  <c r="O51" i="3" s="1"/>
  <c r="N51" i="3"/>
  <c r="AE51" i="3"/>
  <c r="R52" i="3"/>
  <c r="P53" i="3"/>
  <c r="F52" i="3"/>
  <c r="AB51" i="3"/>
  <c r="D51" i="3"/>
  <c r="G51" i="3"/>
  <c r="J51" i="3" s="1"/>
  <c r="AG47" i="3"/>
  <c r="Y47" i="3"/>
  <c r="W48" i="3"/>
  <c r="X48" i="3"/>
  <c r="AD50" i="3"/>
  <c r="H50" i="3"/>
  <c r="K50" i="3"/>
  <c r="N50" i="3"/>
  <c r="AE50" i="3"/>
  <c r="M50" i="3"/>
  <c r="O50" i="3" s="1"/>
  <c r="S52" i="3"/>
  <c r="Q53" i="3"/>
  <c r="AA50" i="3"/>
  <c r="E50" i="3"/>
  <c r="AF48" i="3"/>
  <c r="U48" i="3"/>
  <c r="T49" i="3"/>
  <c r="I49" i="3"/>
  <c r="V49" i="3"/>
  <c r="AC49" i="3"/>
  <c r="S53" i="3" l="1"/>
  <c r="Q54" i="3"/>
  <c r="K51" i="3"/>
  <c r="AD51" i="3"/>
  <c r="H51" i="3"/>
  <c r="D52" i="3"/>
  <c r="G52" i="3"/>
  <c r="J52" i="3" s="1"/>
  <c r="F53" i="3"/>
  <c r="AB52" i="3"/>
  <c r="AA51" i="3"/>
  <c r="E51" i="3"/>
  <c r="R53" i="3"/>
  <c r="P54" i="3"/>
  <c r="W49" i="3"/>
  <c r="X49" i="3"/>
  <c r="AF49" i="3"/>
  <c r="U49" i="3"/>
  <c r="Y48" i="3"/>
  <c r="AG48" i="3"/>
  <c r="AC50" i="3"/>
  <c r="T50" i="3"/>
  <c r="I50" i="3"/>
  <c r="L52" i="3"/>
  <c r="E52" i="3" l="1"/>
  <c r="AA52" i="3"/>
  <c r="AF50" i="3"/>
  <c r="U50" i="3"/>
  <c r="F54" i="3"/>
  <c r="AB53" i="3"/>
  <c r="D53" i="3"/>
  <c r="G53" i="3"/>
  <c r="J53" i="3" s="1"/>
  <c r="I51" i="3"/>
  <c r="AC51" i="3"/>
  <c r="T51" i="3"/>
  <c r="V51" i="3" s="1"/>
  <c r="AE52" i="3"/>
  <c r="M52" i="3"/>
  <c r="O52" i="3" s="1"/>
  <c r="N52" i="3"/>
  <c r="AD52" i="3"/>
  <c r="H52" i="3"/>
  <c r="K52" i="3"/>
  <c r="AG49" i="3"/>
  <c r="Y49" i="3"/>
  <c r="R54" i="3"/>
  <c r="P55" i="3"/>
  <c r="L54" i="3"/>
  <c r="V50" i="3"/>
  <c r="S54" i="3"/>
  <c r="Q55" i="3"/>
  <c r="L53" i="3"/>
  <c r="W51" i="3" l="1"/>
  <c r="X51" i="3"/>
  <c r="AE54" i="3"/>
  <c r="M54" i="3"/>
  <c r="O54" i="3" s="1"/>
  <c r="N54" i="3"/>
  <c r="K53" i="3"/>
  <c r="AD53" i="3"/>
  <c r="H53" i="3"/>
  <c r="M53" i="3"/>
  <c r="O53" i="3" s="1"/>
  <c r="N53" i="3"/>
  <c r="AE53" i="3"/>
  <c r="S55" i="3"/>
  <c r="Q56" i="3"/>
  <c r="R55" i="3"/>
  <c r="P56" i="3"/>
  <c r="AA53" i="3"/>
  <c r="E53" i="3"/>
  <c r="AC52" i="3"/>
  <c r="T52" i="3"/>
  <c r="I52" i="3"/>
  <c r="V52" i="3"/>
  <c r="G54" i="3"/>
  <c r="J54" i="3" s="1"/>
  <c r="F55" i="3"/>
  <c r="L55" i="3" s="1"/>
  <c r="AB54" i="3"/>
  <c r="D54" i="3"/>
  <c r="W50" i="3"/>
  <c r="X50" i="3"/>
  <c r="U51" i="3"/>
  <c r="AF51" i="3"/>
  <c r="AC53" i="3" l="1"/>
  <c r="I53" i="3"/>
  <c r="T53" i="3"/>
  <c r="V53" i="3" s="1"/>
  <c r="AG50" i="3"/>
  <c r="Y50" i="3"/>
  <c r="W52" i="3"/>
  <c r="X52" i="3"/>
  <c r="AF52" i="3"/>
  <c r="U52" i="3"/>
  <c r="M55" i="3"/>
  <c r="O55" i="3" s="1"/>
  <c r="N55" i="3"/>
  <c r="AE55" i="3"/>
  <c r="H54" i="3"/>
  <c r="K54" i="3"/>
  <c r="AD54" i="3"/>
  <c r="AA54" i="3"/>
  <c r="E54" i="3"/>
  <c r="P57" i="3"/>
  <c r="L56" i="3"/>
  <c r="R56" i="3"/>
  <c r="Y51" i="3"/>
  <c r="AG51" i="3"/>
  <c r="AB55" i="3"/>
  <c r="D55" i="3"/>
  <c r="G55" i="3"/>
  <c r="J55" i="3" s="1"/>
  <c r="F56" i="3"/>
  <c r="Q57" i="3"/>
  <c r="S56" i="3"/>
  <c r="S57" i="3" l="1"/>
  <c r="Q58" i="3"/>
  <c r="AG52" i="3"/>
  <c r="Y52" i="3"/>
  <c r="W53" i="3"/>
  <c r="X53" i="3"/>
  <c r="F57" i="3"/>
  <c r="AB56" i="3"/>
  <c r="D56" i="3"/>
  <c r="G56" i="3"/>
  <c r="J56" i="3" s="1"/>
  <c r="AA55" i="3"/>
  <c r="E55" i="3"/>
  <c r="M56" i="3"/>
  <c r="O56" i="3" s="1"/>
  <c r="N56" i="3"/>
  <c r="AE56" i="3"/>
  <c r="R57" i="3"/>
  <c r="P58" i="3"/>
  <c r="AD55" i="3"/>
  <c r="H55" i="3"/>
  <c r="K55" i="3"/>
  <c r="AF53" i="3"/>
  <c r="U53" i="3"/>
  <c r="T54" i="3"/>
  <c r="I54" i="3"/>
  <c r="AC54" i="3"/>
  <c r="AA56" i="3" l="1"/>
  <c r="E56" i="3"/>
  <c r="H56" i="3"/>
  <c r="K56" i="3"/>
  <c r="AD56" i="3"/>
  <c r="AB57" i="3"/>
  <c r="D57" i="3"/>
  <c r="G57" i="3"/>
  <c r="J57" i="3" s="1"/>
  <c r="F58" i="3"/>
  <c r="AF54" i="3"/>
  <c r="U54" i="3"/>
  <c r="AC55" i="3"/>
  <c r="T55" i="3"/>
  <c r="I55" i="3"/>
  <c r="V55" i="3"/>
  <c r="L57" i="3"/>
  <c r="P59" i="3"/>
  <c r="R58" i="3"/>
  <c r="Y53" i="3"/>
  <c r="AG53" i="3"/>
  <c r="V54" i="3"/>
  <c r="Q59" i="3"/>
  <c r="S58" i="3"/>
  <c r="F59" i="3" l="1"/>
  <c r="AB58" i="3"/>
  <c r="D58" i="3"/>
  <c r="G58" i="3"/>
  <c r="J58" i="3" s="1"/>
  <c r="W54" i="3"/>
  <c r="X54" i="3"/>
  <c r="R59" i="3"/>
  <c r="P60" i="3"/>
  <c r="L59" i="3"/>
  <c r="AD57" i="3"/>
  <c r="H57" i="3"/>
  <c r="K57" i="3"/>
  <c r="AE57" i="3"/>
  <c r="M57" i="3"/>
  <c r="O57" i="3" s="1"/>
  <c r="N57" i="3"/>
  <c r="E57" i="3"/>
  <c r="AA57" i="3"/>
  <c r="L58" i="3"/>
  <c r="W55" i="3"/>
  <c r="X55" i="3"/>
  <c r="T56" i="3"/>
  <c r="I56" i="3"/>
  <c r="AC56" i="3"/>
  <c r="AF55" i="3"/>
  <c r="U55" i="3"/>
  <c r="S59" i="3"/>
  <c r="Q60" i="3"/>
  <c r="U56" i="3" l="1"/>
  <c r="AF56" i="3"/>
  <c r="R60" i="3"/>
  <c r="P61" i="3"/>
  <c r="Y55" i="3"/>
  <c r="AG55" i="3"/>
  <c r="S60" i="3"/>
  <c r="Q61" i="3"/>
  <c r="K58" i="3"/>
  <c r="AD58" i="3"/>
  <c r="H58" i="3"/>
  <c r="AE59" i="3"/>
  <c r="N59" i="3"/>
  <c r="M59" i="3"/>
  <c r="O59" i="3" s="1"/>
  <c r="M58" i="3"/>
  <c r="O58" i="3" s="1"/>
  <c r="N58" i="3"/>
  <c r="AE58" i="3"/>
  <c r="AG54" i="3"/>
  <c r="Y54" i="3"/>
  <c r="AA58" i="3"/>
  <c r="E58" i="3"/>
  <c r="V56" i="3"/>
  <c r="AC57" i="3"/>
  <c r="T57" i="3"/>
  <c r="V57" i="3" s="1"/>
  <c r="I57" i="3"/>
  <c r="G59" i="3"/>
  <c r="J59" i="3" s="1"/>
  <c r="F60" i="3"/>
  <c r="L60" i="3" s="1"/>
  <c r="D59" i="3"/>
  <c r="AB59" i="3"/>
  <c r="M60" i="3" l="1"/>
  <c r="O60" i="3" s="1"/>
  <c r="N60" i="3"/>
  <c r="AE60" i="3"/>
  <c r="S61" i="3"/>
  <c r="Q62" i="3"/>
  <c r="AD59" i="3"/>
  <c r="H59" i="3"/>
  <c r="K59" i="3"/>
  <c r="W56" i="3"/>
  <c r="X56" i="3"/>
  <c r="P62" i="3"/>
  <c r="L61" i="3"/>
  <c r="R61" i="3"/>
  <c r="E59" i="3"/>
  <c r="AA59" i="3"/>
  <c r="AB60" i="3"/>
  <c r="D60" i="3"/>
  <c r="G60" i="3"/>
  <c r="J60" i="3" s="1"/>
  <c r="F61" i="3"/>
  <c r="W57" i="3"/>
  <c r="X57" i="3"/>
  <c r="AF57" i="3"/>
  <c r="U57" i="3"/>
  <c r="AC58" i="3"/>
  <c r="I58" i="3"/>
  <c r="T58" i="3"/>
  <c r="M61" i="3" l="1"/>
  <c r="O61" i="3" s="1"/>
  <c r="N61" i="3"/>
  <c r="AE61" i="3"/>
  <c r="AD60" i="3"/>
  <c r="K60" i="3"/>
  <c r="H60" i="3"/>
  <c r="AF58" i="3"/>
  <c r="U58" i="3"/>
  <c r="AA60" i="3"/>
  <c r="E60" i="3"/>
  <c r="AG57" i="3"/>
  <c r="Y57" i="3"/>
  <c r="R62" i="3"/>
  <c r="P63" i="3"/>
  <c r="AG56" i="3"/>
  <c r="Y56" i="3"/>
  <c r="G61" i="3"/>
  <c r="J61" i="3" s="1"/>
  <c r="F62" i="3"/>
  <c r="D61" i="3"/>
  <c r="AB61" i="3"/>
  <c r="T59" i="3"/>
  <c r="I59" i="3"/>
  <c r="AC59" i="3"/>
  <c r="S62" i="3"/>
  <c r="Q63" i="3"/>
  <c r="V58" i="3"/>
  <c r="AF59" i="3" l="1"/>
  <c r="U59" i="3"/>
  <c r="H61" i="3"/>
  <c r="K61" i="3"/>
  <c r="AD61" i="3"/>
  <c r="AC60" i="3"/>
  <c r="T60" i="3"/>
  <c r="V60" i="3" s="1"/>
  <c r="I60" i="3"/>
  <c r="P64" i="3"/>
  <c r="L63" i="3"/>
  <c r="R63" i="3"/>
  <c r="AA61" i="3"/>
  <c r="E61" i="3"/>
  <c r="AB62" i="3"/>
  <c r="D62" i="3"/>
  <c r="G62" i="3"/>
  <c r="J62" i="3" s="1"/>
  <c r="F63" i="3"/>
  <c r="W58" i="3"/>
  <c r="X58" i="3"/>
  <c r="Q64" i="3"/>
  <c r="S63" i="3"/>
  <c r="L62" i="3"/>
  <c r="V59" i="3"/>
  <c r="W60" i="3" l="1"/>
  <c r="X60" i="3"/>
  <c r="Y58" i="3"/>
  <c r="AG58" i="3"/>
  <c r="F64" i="3"/>
  <c r="AB63" i="3"/>
  <c r="D63" i="3"/>
  <c r="G63" i="3"/>
  <c r="J63" i="3" s="1"/>
  <c r="S64" i="3"/>
  <c r="Q65" i="3"/>
  <c r="R64" i="3"/>
  <c r="P65" i="3"/>
  <c r="T61" i="3"/>
  <c r="I61" i="3"/>
  <c r="V61" i="3"/>
  <c r="AC61" i="3"/>
  <c r="AA62" i="3"/>
  <c r="E62" i="3"/>
  <c r="M63" i="3"/>
  <c r="O63" i="3" s="1"/>
  <c r="N63" i="3"/>
  <c r="AE63" i="3"/>
  <c r="AF60" i="3"/>
  <c r="U60" i="3"/>
  <c r="AD62" i="3"/>
  <c r="H62" i="3"/>
  <c r="K62" i="3"/>
  <c r="W59" i="3"/>
  <c r="X59" i="3"/>
  <c r="N62" i="3"/>
  <c r="AE62" i="3"/>
  <c r="M62" i="3"/>
  <c r="O62" i="3" s="1"/>
  <c r="Q66" i="3" l="1"/>
  <c r="S65" i="3"/>
  <c r="K63" i="3"/>
  <c r="H63" i="3"/>
  <c r="AD63" i="3"/>
  <c r="W61" i="3"/>
  <c r="X61" i="3"/>
  <c r="AC62" i="3"/>
  <c r="T62" i="3"/>
  <c r="V62" i="3" s="1"/>
  <c r="I62" i="3"/>
  <c r="AA63" i="3"/>
  <c r="E63" i="3"/>
  <c r="AG59" i="3"/>
  <c r="Y59" i="3"/>
  <c r="D64" i="3"/>
  <c r="G64" i="3"/>
  <c r="J64" i="3" s="1"/>
  <c r="F65" i="3"/>
  <c r="AB64" i="3"/>
  <c r="AF61" i="3"/>
  <c r="U61" i="3"/>
  <c r="L64" i="3"/>
  <c r="Y60" i="3"/>
  <c r="AG60" i="3"/>
  <c r="R65" i="3"/>
  <c r="P66" i="3"/>
  <c r="AE64" i="3" l="1"/>
  <c r="M64" i="3"/>
  <c r="O64" i="3" s="1"/>
  <c r="N64" i="3"/>
  <c r="W62" i="3"/>
  <c r="X62" i="3"/>
  <c r="AG61" i="3"/>
  <c r="Y61" i="3"/>
  <c r="R66" i="3"/>
  <c r="P67" i="3"/>
  <c r="L66" i="3"/>
  <c r="AD64" i="3"/>
  <c r="H64" i="3"/>
  <c r="K64" i="3"/>
  <c r="I63" i="3"/>
  <c r="AC63" i="3"/>
  <c r="T63" i="3"/>
  <c r="V63" i="3" s="1"/>
  <c r="AF62" i="3"/>
  <c r="U62" i="3"/>
  <c r="F66" i="3"/>
  <c r="AB65" i="3"/>
  <c r="D65" i="3"/>
  <c r="G65" i="3"/>
  <c r="J65" i="3" s="1"/>
  <c r="E64" i="3"/>
  <c r="AA64" i="3"/>
  <c r="L65" i="3"/>
  <c r="S66" i="3"/>
  <c r="Q67" i="3"/>
  <c r="W63" i="3" l="1"/>
  <c r="X63" i="3"/>
  <c r="R67" i="3"/>
  <c r="P68" i="3"/>
  <c r="M65" i="3"/>
  <c r="O65" i="3" s="1"/>
  <c r="N65" i="3"/>
  <c r="AE65" i="3"/>
  <c r="AE66" i="3"/>
  <c r="N66" i="3"/>
  <c r="M66" i="3"/>
  <c r="O66" i="3" s="1"/>
  <c r="S67" i="3"/>
  <c r="Q68" i="3"/>
  <c r="AG62" i="3"/>
  <c r="Y62" i="3"/>
  <c r="AA65" i="3"/>
  <c r="E65" i="3"/>
  <c r="G66" i="3"/>
  <c r="J66" i="3" s="1"/>
  <c r="F67" i="3"/>
  <c r="AB66" i="3"/>
  <c r="D66" i="3"/>
  <c r="U63" i="3"/>
  <c r="AF63" i="3"/>
  <c r="K65" i="3"/>
  <c r="AD65" i="3"/>
  <c r="H65" i="3"/>
  <c r="AC64" i="3"/>
  <c r="T64" i="3"/>
  <c r="I64" i="3"/>
  <c r="V64" i="3"/>
  <c r="AB67" i="3" l="1"/>
  <c r="D67" i="3"/>
  <c r="G67" i="3"/>
  <c r="J67" i="3" s="1"/>
  <c r="F68" i="3"/>
  <c r="H66" i="3"/>
  <c r="K66" i="3"/>
  <c r="AD66" i="3"/>
  <c r="W64" i="3"/>
  <c r="X64" i="3"/>
  <c r="AC65" i="3"/>
  <c r="T65" i="3"/>
  <c r="I65" i="3"/>
  <c r="Q69" i="3"/>
  <c r="S68" i="3"/>
  <c r="Y63" i="3"/>
  <c r="AG63" i="3"/>
  <c r="AA66" i="3"/>
  <c r="E66" i="3"/>
  <c r="AF64" i="3"/>
  <c r="U64" i="3"/>
  <c r="P69" i="3"/>
  <c r="L68" i="3"/>
  <c r="R68" i="3"/>
  <c r="L67" i="3"/>
  <c r="U65" i="3" l="1"/>
  <c r="AF65" i="3"/>
  <c r="AD67" i="3"/>
  <c r="K67" i="3"/>
  <c r="H67" i="3"/>
  <c r="M68" i="3"/>
  <c r="O68" i="3" s="1"/>
  <c r="AE68" i="3"/>
  <c r="N68" i="3"/>
  <c r="AG64" i="3"/>
  <c r="Y64" i="3"/>
  <c r="M67" i="3"/>
  <c r="O67" i="3" s="1"/>
  <c r="N67" i="3"/>
  <c r="AE67" i="3"/>
  <c r="S69" i="3"/>
  <c r="Q70" i="3"/>
  <c r="S70" i="3" s="1"/>
  <c r="V65" i="3"/>
  <c r="R69" i="3"/>
  <c r="P70" i="3"/>
  <c r="T66" i="3"/>
  <c r="I66" i="3"/>
  <c r="AC66" i="3"/>
  <c r="F69" i="3"/>
  <c r="L69" i="3" s="1"/>
  <c r="AB68" i="3"/>
  <c r="G68" i="3"/>
  <c r="J68" i="3" s="1"/>
  <c r="D68" i="3"/>
  <c r="AA67" i="3"/>
  <c r="E67" i="3"/>
  <c r="AF66" i="3" l="1"/>
  <c r="U66" i="3"/>
  <c r="M69" i="3"/>
  <c r="O69" i="3" s="1"/>
  <c r="AE69" i="3"/>
  <c r="N69" i="3"/>
  <c r="L70" i="3"/>
  <c r="R70" i="3"/>
  <c r="J70" i="3"/>
  <c r="AC67" i="3"/>
  <c r="I67" i="3"/>
  <c r="T67" i="3"/>
  <c r="H68" i="3"/>
  <c r="K68" i="3"/>
  <c r="AD68" i="3"/>
  <c r="V66" i="3"/>
  <c r="E68" i="3"/>
  <c r="AA68" i="3"/>
  <c r="W65" i="3"/>
  <c r="X65" i="3"/>
  <c r="D69" i="3"/>
  <c r="G69" i="3"/>
  <c r="J69" i="3" s="1"/>
  <c r="AB69" i="3"/>
  <c r="U67" i="3" l="1"/>
  <c r="AF67" i="3"/>
  <c r="H69" i="3"/>
  <c r="AD69" i="3"/>
  <c r="K69" i="3"/>
  <c r="N70" i="3"/>
  <c r="M70" i="3"/>
  <c r="O70" i="3" s="1"/>
  <c r="AE70" i="3"/>
  <c r="V67" i="3"/>
  <c r="H70" i="3"/>
  <c r="AD70" i="3"/>
  <c r="K70" i="3"/>
  <c r="E69" i="3"/>
  <c r="AA69" i="3"/>
  <c r="Y65" i="3"/>
  <c r="AG65" i="3"/>
  <c r="W66" i="3"/>
  <c r="X66" i="3"/>
  <c r="T68" i="3"/>
  <c r="V68" i="3" s="1"/>
  <c r="I68" i="3"/>
  <c r="AC68" i="3"/>
  <c r="W68" i="3" l="1"/>
  <c r="X68" i="3"/>
  <c r="U68" i="3"/>
  <c r="AF68" i="3"/>
  <c r="AG66" i="3"/>
  <c r="Y66" i="3"/>
  <c r="T70" i="3"/>
  <c r="I70" i="3"/>
  <c r="AC70" i="3"/>
  <c r="W67" i="3"/>
  <c r="X67" i="3"/>
  <c r="AC69" i="3"/>
  <c r="I69" i="3"/>
  <c r="T69" i="3"/>
  <c r="V69" i="3"/>
  <c r="Y67" i="3" l="1"/>
  <c r="AG67" i="3"/>
  <c r="U70" i="3"/>
  <c r="AF70" i="3"/>
  <c r="V70" i="3"/>
  <c r="W69" i="3"/>
  <c r="X69" i="3"/>
  <c r="U69" i="3"/>
  <c r="AF69" i="3"/>
  <c r="AG68" i="3"/>
  <c r="Y68" i="3"/>
  <c r="Y69" i="3" l="1"/>
  <c r="AG69" i="3"/>
  <c r="W70" i="3"/>
  <c r="X70" i="3"/>
  <c r="AG70" i="3" l="1"/>
  <c r="Y70" i="3"/>
</calcChain>
</file>

<file path=xl/sharedStrings.xml><?xml version="1.0" encoding="utf-8"?>
<sst xmlns="http://schemas.openxmlformats.org/spreadsheetml/2006/main" count="281" uniqueCount="129">
  <si>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</si>
  <si>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</si>
  <si>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</si>
  <si>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</si>
  <si>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</si>
  <si>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</si>
  <si>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</si>
  <si>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</si>
  <si>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</si>
  <si>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</si>
  <si>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</si>
  <si>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</si>
  <si>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</si>
  <si>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</si>
  <si>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</si>
  <si>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</si>
  <si>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</si>
  <si>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</si>
  <si>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</si>
  <si>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</si>
  <si>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</si>
  <si>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</si>
  <si>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</si>
  <si>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</si>
  <si>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</si>
  <si>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</si>
  <si>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</si>
  <si>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</si>
  <si>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</si>
  <si>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</si>
  <si>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</si>
  <si>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</si>
  <si>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</si>
  <si>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</si>
  <si>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</si>
  <si>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</si>
  <si>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</si>
  <si>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</si>
  <si>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</si>
  <si>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</si>
  <si>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</si>
  <si>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</si>
  <si>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</si>
  <si>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</si>
  <si>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</si>
  <si>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</si>
  <si>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</si>
  <si>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</si>
  <si>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</si>
  <si>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</si>
  <si>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</si>
  <si>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</si>
  <si>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</si>
  <si>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</si>
  <si>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</si>
  <si>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</si>
  <si>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</si>
  <si>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</si>
  <si>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</si>
  <si>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</si>
  <si>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</si>
  <si>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</si>
  <si>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</si>
  <si>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</si>
  <si>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</si>
  <si>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</si>
  <si>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</si>
  <si>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</si>
  <si>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</si>
  <si>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</si>
  <si>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</si>
  <si>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</si>
  <si>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</si>
  <si>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</si>
  <si>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</si>
  <si>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</si>
  <si>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</si>
  <si>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</si>
  <si>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</si>
  <si>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</si>
  <si>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</si>
  <si>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</si>
  <si>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</si>
  <si>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</si>
  <si>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</si>
  <si>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</si>
  <si>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</si>
  <si>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</si>
  <si>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</si>
  <si>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</si>
  <si>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</si>
  <si>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</si>
  <si>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</si>
  <si>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</si>
  <si>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</si>
  <si>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</si>
  <si>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CdA</t>
  </si>
  <si>
    <t>1. At the choke point and immediately upstream at the pipe, the mass flow rate, stagnation temeprature and stagnation pressure are all the same</t>
  </si>
  <si>
    <t>Hence, from the mass conservation equation</t>
  </si>
  <si>
    <t>choked flow area of orifice</t>
  </si>
  <si>
    <t>and applying mass conservation at location 2 in the pipe and the connected orifice we can equate the above at both locations</t>
  </si>
  <si>
    <t>But Morifice is "1" if it is choked, hence we can solve for M2 iteratively from the following</t>
  </si>
  <si>
    <t>EQUATION 1</t>
  </si>
  <si>
    <t>LHS of Eq. 1</t>
  </si>
  <si>
    <t>RHS of Eq. 1</t>
  </si>
  <si>
    <t>2. Now that we know M2 we can iterate for M1</t>
  </si>
  <si>
    <t>P orifice</t>
  </si>
  <si>
    <t>T orifice</t>
  </si>
  <si>
    <t>Rho orifice</t>
  </si>
  <si>
    <t>V orifice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</si>
  <si>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</si>
  <si>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</si>
  <si>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</si>
  <si>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</si>
  <si>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</si>
  <si>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</si>
  <si>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</si>
  <si>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</si>
  <si>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</si>
  <si>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</si>
  <si>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</si>
  <si>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</si>
  <si>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</si>
  <si>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</si>
  <si>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</si>
  <si>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</si>
  <si>
    <t>Jct Calc CdA=2 in2</t>
  </si>
  <si>
    <t>*</t>
  </si>
  <si>
    <t>* = from "Lumped Adiabatic Example - Example 7.2b"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</si>
</sst>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8" fontId="0" fillId="0" borderId="0" xfId="0" applyNumberFormat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165" fontId="0" fillId="3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right"/>
    </xf>
    <xf numFmtId="167" fontId="0" fillId="7" borderId="0" xfId="0" applyNumberFormat="1" applyFill="1"/>
    <xf numFmtId="0" fontId="0" fillId="8" borderId="0" xfId="0" applyFill="1"/>
    <xf numFmtId="167" fontId="0" fillId="8" borderId="0" xfId="0" applyNumberFormat="1" applyFill="1"/>
    <xf numFmtId="0" fontId="0" fillId="8" borderId="0" xfId="0" applyFill="1" applyAlignment="1">
      <alignment horizontal="left"/>
    </xf>
    <xf numFmtId="0" fontId="2" fillId="8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Data'!$AB$1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0.12397398465502502</c:v>
                </c:pt>
                <c:pt idx="2">
                  <c:v>0.24179770845392906</c:v>
                </c:pt>
                <c:pt idx="3">
                  <c:v>0.35386620923865403</c:v>
                </c:pt>
                <c:pt idx="4">
                  <c:v>0.46054339182834358</c:v>
                </c:pt>
                <c:pt idx="5">
                  <c:v>0.56216492409211805</c:v>
                </c:pt>
                <c:pt idx="6">
                  <c:v>0.65904082364054617</c:v>
                </c:pt>
                <c:pt idx="7">
                  <c:v>0.75145777233252142</c:v>
                </c:pt>
                <c:pt idx="8">
                  <c:v>0.79988966041124532</c:v>
                </c:pt>
                <c:pt idx="9">
                  <c:v>0.79990646044633396</c:v>
                </c:pt>
                <c:pt idx="10">
                  <c:v>0.79990646044633396</c:v>
                </c:pt>
                <c:pt idx="11">
                  <c:v>0.81470808560383134</c:v>
                </c:pt>
                <c:pt idx="12">
                  <c:v>0.82837480844970135</c:v>
                </c:pt>
                <c:pt idx="13">
                  <c:v>0.84100673074942212</c:v>
                </c:pt>
                <c:pt idx="14">
                  <c:v>0.85269344704167782</c:v>
                </c:pt>
                <c:pt idx="15">
                  <c:v>0.86351533030838001</c:v>
                </c:pt>
                <c:pt idx="16">
                  <c:v>0.87354463838211871</c:v>
                </c:pt>
                <c:pt idx="17">
                  <c:v>0.88284646905144004</c:v>
                </c:pt>
                <c:pt idx="18">
                  <c:v>0.89147958701648444</c:v>
                </c:pt>
                <c:pt idx="19">
                  <c:v>0.899497141940513</c:v>
                </c:pt>
                <c:pt idx="20">
                  <c:v>0.9069472936544769</c:v>
                </c:pt>
                <c:pt idx="21">
                  <c:v>0.91387375795935066</c:v>
                </c:pt>
                <c:pt idx="22">
                  <c:v>0.92031628432208756</c:v>
                </c:pt>
                <c:pt idx="23">
                  <c:v>0.92631107498688359</c:v>
                </c:pt>
                <c:pt idx="24">
                  <c:v>0.93189115355336438</c:v>
                </c:pt>
                <c:pt idx="25">
                  <c:v>0.93708668985098376</c:v>
                </c:pt>
                <c:pt idx="26">
                  <c:v>0.94192528691920385</c:v>
                </c:pt>
                <c:pt idx="27">
                  <c:v>0.94643223504959273</c:v>
                </c:pt>
                <c:pt idx="28">
                  <c:v>0.95063073712948953</c:v>
                </c:pt>
                <c:pt idx="29">
                  <c:v>0.95454210892357361</c:v>
                </c:pt>
                <c:pt idx="30">
                  <c:v>0.95818595742018786</c:v>
                </c:pt>
                <c:pt idx="31">
                  <c:v>0.9615803399377999</c:v>
                </c:pt>
                <c:pt idx="32">
                  <c:v>0.96474190632062151</c:v>
                </c:pt>
                <c:pt idx="33">
                  <c:v>0.96768602624048261</c:v>
                </c:pt>
                <c:pt idx="34">
                  <c:v>0.97042690335583603</c:v>
                </c:pt>
                <c:pt idx="35">
                  <c:v>0.97297767785097211</c:v>
                </c:pt>
                <c:pt idx="36">
                  <c:v>0.97535051868316081</c:v>
                </c:pt>
                <c:pt idx="37">
                  <c:v>0.97755670669749295</c:v>
                </c:pt>
                <c:pt idx="38">
                  <c:v>0.97960670962449514</c:v>
                </c:pt>
                <c:pt idx="39">
                  <c:v>0.9815102498506626</c:v>
                </c:pt>
                <c:pt idx="40">
                  <c:v>0.98327636574395016</c:v>
                </c:pt>
                <c:pt idx="41">
                  <c:v>0.98491346722253592</c:v>
                </c:pt>
                <c:pt idx="42">
                  <c:v>0.98642938617374731</c:v>
                </c:pt>
                <c:pt idx="43">
                  <c:v>0.98783142225916132</c:v>
                </c:pt>
                <c:pt idx="44">
                  <c:v>0.98912638458008217</c:v>
                </c:pt>
                <c:pt idx="45">
                  <c:v>0.99032062962359901</c:v>
                </c:pt>
                <c:pt idx="46">
                  <c:v>0.99142009586215818</c:v>
                </c:pt>
                <c:pt idx="47">
                  <c:v>0.99243033533815095</c:v>
                </c:pt>
                <c:pt idx="48">
                  <c:v>0.9933565425286206</c:v>
                </c:pt>
                <c:pt idx="49">
                  <c:v>0.9942035807531785</c:v>
                </c:pt>
                <c:pt idx="50">
                  <c:v>0.99497600636001515</c:v>
                </c:pt>
                <c:pt idx="51">
                  <c:v>0.99567809089999137</c:v>
                </c:pt>
                <c:pt idx="52">
                  <c:v>0.99631384147680613</c:v>
                </c:pt>
                <c:pt idx="53">
                  <c:v>0.99688701944174973</c:v>
                </c:pt>
                <c:pt idx="54">
                  <c:v>0.99740115758430359</c:v>
                </c:pt>
                <c:pt idx="55">
                  <c:v>0.99785957595451447</c:v>
                </c:pt>
                <c:pt idx="56">
                  <c:v>0.99826539643945422</c:v>
                </c:pt>
                <c:pt idx="57">
                  <c:v>0.99862155620395465</c:v>
                </c:pt>
                <c:pt idx="58">
                  <c:v>0.99893082009499623</c:v>
                </c:pt>
                <c:pt idx="59">
                  <c:v>0.99919579209949161</c:v>
                </c:pt>
                <c:pt idx="60">
                  <c:v>0.99941892593658099</c:v>
                </c:pt>
                <c:pt idx="61">
                  <c:v>0.999602534857855</c:v>
                </c:pt>
                <c:pt idx="62">
                  <c:v>0.99974880072200889</c:v>
                </c:pt>
                <c:pt idx="63">
                  <c:v>0.99985978240423978</c:v>
                </c:pt>
                <c:pt idx="64">
                  <c:v>0.99993742359514326</c:v>
                </c:pt>
                <c:pt idx="65">
                  <c:v>0.9999835600388618</c:v>
                </c:pt>
                <c:pt idx="66">
                  <c:v>0.99999992625574252</c:v>
                </c:pt>
                <c:pt idx="67">
                  <c:v>1</c:v>
                </c:pt>
              </c:numCache>
            </c:numRef>
          </c:xVal>
          <c:yVal>
            <c:numRef>
              <c:f>'Graph Data'!$AB$3:$AB$91</c:f>
              <c:numCache>
                <c:formatCode>General</c:formatCode>
                <c:ptCount val="89"/>
                <c:pt idx="0">
                  <c:v>0.14762323347790815</c:v>
                </c:pt>
                <c:pt idx="1">
                  <c:v>0.15012323347790815</c:v>
                </c:pt>
                <c:pt idx="2">
                  <c:v>0.15262323347790815</c:v>
                </c:pt>
                <c:pt idx="3">
                  <c:v>0.15512323347790816</c:v>
                </c:pt>
                <c:pt idx="4">
                  <c:v>0.15762323347790816</c:v>
                </c:pt>
                <c:pt idx="5">
                  <c:v>0.16012323347790816</c:v>
                </c:pt>
                <c:pt idx="6">
                  <c:v>0.16262323347790816</c:v>
                </c:pt>
                <c:pt idx="7">
                  <c:v>0.16512323347790817</c:v>
                </c:pt>
                <c:pt idx="8">
                  <c:v>0.16648136922389201</c:v>
                </c:pt>
                <c:pt idx="9">
                  <c:v>1</c:v>
                </c:pt>
                <c:pt idx="10">
                  <c:v>0.43927482794292305</c:v>
                </c:pt>
                <c:pt idx="11">
                  <c:v>0.44927482794292306</c:v>
                </c:pt>
                <c:pt idx="12">
                  <c:v>0.45927482794292307</c:v>
                </c:pt>
                <c:pt idx="13">
                  <c:v>0.46927482794292308</c:v>
                </c:pt>
                <c:pt idx="14">
                  <c:v>0.47927482794292309</c:v>
                </c:pt>
                <c:pt idx="15">
                  <c:v>0.4892748279429231</c:v>
                </c:pt>
                <c:pt idx="16">
                  <c:v>0.49927482794292311</c:v>
                </c:pt>
                <c:pt idx="17">
                  <c:v>0.50927482794292311</c:v>
                </c:pt>
                <c:pt idx="18">
                  <c:v>0.51927482794292312</c:v>
                </c:pt>
                <c:pt idx="19">
                  <c:v>0.52927482794292313</c:v>
                </c:pt>
                <c:pt idx="20">
                  <c:v>0.53927482794292314</c:v>
                </c:pt>
                <c:pt idx="21">
                  <c:v>0.54927482794292315</c:v>
                </c:pt>
                <c:pt idx="22">
                  <c:v>0.55927482794292316</c:v>
                </c:pt>
                <c:pt idx="23">
                  <c:v>0.56927482794292317</c:v>
                </c:pt>
                <c:pt idx="24">
                  <c:v>0.57927482794292318</c:v>
                </c:pt>
                <c:pt idx="25">
                  <c:v>0.58927482794292319</c:v>
                </c:pt>
                <c:pt idx="26">
                  <c:v>0.59927482794292319</c:v>
                </c:pt>
                <c:pt idx="27">
                  <c:v>0.6092748279429232</c:v>
                </c:pt>
                <c:pt idx="28">
                  <c:v>0.61927482794292321</c:v>
                </c:pt>
                <c:pt idx="29">
                  <c:v>0.62927482794292322</c:v>
                </c:pt>
                <c:pt idx="30">
                  <c:v>0.63927482794292323</c:v>
                </c:pt>
                <c:pt idx="31">
                  <c:v>0.64927482794292324</c:v>
                </c:pt>
                <c:pt idx="32">
                  <c:v>0.65927482794292325</c:v>
                </c:pt>
                <c:pt idx="33">
                  <c:v>0.66927482794292326</c:v>
                </c:pt>
                <c:pt idx="34">
                  <c:v>0.67927482794292326</c:v>
                </c:pt>
                <c:pt idx="35">
                  <c:v>0.68927482794292327</c:v>
                </c:pt>
                <c:pt idx="36">
                  <c:v>0.69927482794292328</c:v>
                </c:pt>
                <c:pt idx="37">
                  <c:v>0.70927482794292329</c:v>
                </c:pt>
                <c:pt idx="38">
                  <c:v>0.7192748279429233</c:v>
                </c:pt>
                <c:pt idx="39">
                  <c:v>0.72927482794292331</c:v>
                </c:pt>
                <c:pt idx="40">
                  <c:v>0.73927482794292332</c:v>
                </c:pt>
                <c:pt idx="41">
                  <c:v>0.74927482794292333</c:v>
                </c:pt>
                <c:pt idx="42">
                  <c:v>0.75927482794292334</c:v>
                </c:pt>
                <c:pt idx="43">
                  <c:v>0.76927482794292334</c:v>
                </c:pt>
                <c:pt idx="44">
                  <c:v>0.77927482794292335</c:v>
                </c:pt>
                <c:pt idx="45">
                  <c:v>0.78927482794292336</c:v>
                </c:pt>
                <c:pt idx="46">
                  <c:v>0.79927482794292337</c:v>
                </c:pt>
                <c:pt idx="47">
                  <c:v>0.80927482794292338</c:v>
                </c:pt>
                <c:pt idx="48">
                  <c:v>0.81927482794292339</c:v>
                </c:pt>
                <c:pt idx="49">
                  <c:v>0.8292748279429234</c:v>
                </c:pt>
                <c:pt idx="50">
                  <c:v>0.83927482794292341</c:v>
                </c:pt>
                <c:pt idx="51">
                  <c:v>0.84927482794292342</c:v>
                </c:pt>
                <c:pt idx="52">
                  <c:v>0.85927482794292342</c:v>
                </c:pt>
                <c:pt idx="53">
                  <c:v>0.86927482794292343</c:v>
                </c:pt>
                <c:pt idx="54">
                  <c:v>0.87927482794292344</c:v>
                </c:pt>
                <c:pt idx="55">
                  <c:v>0.88927482794292345</c:v>
                </c:pt>
                <c:pt idx="56">
                  <c:v>0.89927482794292346</c:v>
                </c:pt>
                <c:pt idx="57">
                  <c:v>0.90927482794292347</c:v>
                </c:pt>
                <c:pt idx="58">
                  <c:v>0.91927482794292348</c:v>
                </c:pt>
                <c:pt idx="59">
                  <c:v>0.92927482794292349</c:v>
                </c:pt>
                <c:pt idx="60">
                  <c:v>0.9392748279429235</c:v>
                </c:pt>
                <c:pt idx="61">
                  <c:v>0.9492748279429235</c:v>
                </c:pt>
                <c:pt idx="62">
                  <c:v>0.95927482794292351</c:v>
                </c:pt>
                <c:pt idx="63">
                  <c:v>0.96927482794292352</c:v>
                </c:pt>
                <c:pt idx="64">
                  <c:v>0.97927482794292353</c:v>
                </c:pt>
                <c:pt idx="65">
                  <c:v>0.98927482794292354</c:v>
                </c:pt>
                <c:pt idx="66">
                  <c:v>0.99927482794292355</c:v>
                </c:pt>
                <c:pt idx="6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0-4BE0-AB61-1937DF2EE77F}"/>
            </c:ext>
          </c:extLst>
        </c:ser>
        <c:ser>
          <c:idx val="1"/>
          <c:order val="1"/>
          <c:tx>
            <c:strRef>
              <c:f>'Graph Data'!$AC$1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0.12397398465502502</c:v>
                </c:pt>
                <c:pt idx="2">
                  <c:v>0.24179770845392906</c:v>
                </c:pt>
                <c:pt idx="3">
                  <c:v>0.35386620923865403</c:v>
                </c:pt>
                <c:pt idx="4">
                  <c:v>0.46054339182834358</c:v>
                </c:pt>
                <c:pt idx="5">
                  <c:v>0.56216492409211805</c:v>
                </c:pt>
                <c:pt idx="6">
                  <c:v>0.65904082364054617</c:v>
                </c:pt>
                <c:pt idx="7">
                  <c:v>0.75145777233252142</c:v>
                </c:pt>
                <c:pt idx="8">
                  <c:v>0.79988966041124532</c:v>
                </c:pt>
                <c:pt idx="9">
                  <c:v>0.79990646044633396</c:v>
                </c:pt>
                <c:pt idx="10">
                  <c:v>0.79990646044633396</c:v>
                </c:pt>
                <c:pt idx="11">
                  <c:v>0.81470808560383134</c:v>
                </c:pt>
                <c:pt idx="12">
                  <c:v>0.82837480844970135</c:v>
                </c:pt>
                <c:pt idx="13">
                  <c:v>0.84100673074942212</c:v>
                </c:pt>
                <c:pt idx="14">
                  <c:v>0.85269344704167782</c:v>
                </c:pt>
                <c:pt idx="15">
                  <c:v>0.86351533030838001</c:v>
                </c:pt>
                <c:pt idx="16">
                  <c:v>0.87354463838211871</c:v>
                </c:pt>
                <c:pt idx="17">
                  <c:v>0.88284646905144004</c:v>
                </c:pt>
                <c:pt idx="18">
                  <c:v>0.89147958701648444</c:v>
                </c:pt>
                <c:pt idx="19">
                  <c:v>0.899497141940513</c:v>
                </c:pt>
                <c:pt idx="20">
                  <c:v>0.9069472936544769</c:v>
                </c:pt>
                <c:pt idx="21">
                  <c:v>0.91387375795935066</c:v>
                </c:pt>
                <c:pt idx="22">
                  <c:v>0.92031628432208756</c:v>
                </c:pt>
                <c:pt idx="23">
                  <c:v>0.92631107498688359</c:v>
                </c:pt>
                <c:pt idx="24">
                  <c:v>0.93189115355336438</c:v>
                </c:pt>
                <c:pt idx="25">
                  <c:v>0.93708668985098376</c:v>
                </c:pt>
                <c:pt idx="26">
                  <c:v>0.94192528691920385</c:v>
                </c:pt>
                <c:pt idx="27">
                  <c:v>0.94643223504959273</c:v>
                </c:pt>
                <c:pt idx="28">
                  <c:v>0.95063073712948953</c:v>
                </c:pt>
                <c:pt idx="29">
                  <c:v>0.95454210892357361</c:v>
                </c:pt>
                <c:pt idx="30">
                  <c:v>0.95818595742018786</c:v>
                </c:pt>
                <c:pt idx="31">
                  <c:v>0.9615803399377999</c:v>
                </c:pt>
                <c:pt idx="32">
                  <c:v>0.96474190632062151</c:v>
                </c:pt>
                <c:pt idx="33">
                  <c:v>0.96768602624048261</c:v>
                </c:pt>
                <c:pt idx="34">
                  <c:v>0.97042690335583603</c:v>
                </c:pt>
                <c:pt idx="35">
                  <c:v>0.97297767785097211</c:v>
                </c:pt>
                <c:pt idx="36">
                  <c:v>0.97535051868316081</c:v>
                </c:pt>
                <c:pt idx="37">
                  <c:v>0.97755670669749295</c:v>
                </c:pt>
                <c:pt idx="38">
                  <c:v>0.97960670962449514</c:v>
                </c:pt>
                <c:pt idx="39">
                  <c:v>0.9815102498506626</c:v>
                </c:pt>
                <c:pt idx="40">
                  <c:v>0.98327636574395016</c:v>
                </c:pt>
                <c:pt idx="41">
                  <c:v>0.98491346722253592</c:v>
                </c:pt>
                <c:pt idx="42">
                  <c:v>0.98642938617374731</c:v>
                </c:pt>
                <c:pt idx="43">
                  <c:v>0.98783142225916132</c:v>
                </c:pt>
                <c:pt idx="44">
                  <c:v>0.98912638458008217</c:v>
                </c:pt>
                <c:pt idx="45">
                  <c:v>0.99032062962359901</c:v>
                </c:pt>
                <c:pt idx="46">
                  <c:v>0.99142009586215818</c:v>
                </c:pt>
                <c:pt idx="47">
                  <c:v>0.99243033533815095</c:v>
                </c:pt>
                <c:pt idx="48">
                  <c:v>0.9933565425286206</c:v>
                </c:pt>
                <c:pt idx="49">
                  <c:v>0.9942035807531785</c:v>
                </c:pt>
                <c:pt idx="50">
                  <c:v>0.99497600636001515</c:v>
                </c:pt>
                <c:pt idx="51">
                  <c:v>0.99567809089999137</c:v>
                </c:pt>
                <c:pt idx="52">
                  <c:v>0.99631384147680613</c:v>
                </c:pt>
                <c:pt idx="53">
                  <c:v>0.99688701944174973</c:v>
                </c:pt>
                <c:pt idx="54">
                  <c:v>0.99740115758430359</c:v>
                </c:pt>
                <c:pt idx="55">
                  <c:v>0.99785957595451447</c:v>
                </c:pt>
                <c:pt idx="56">
                  <c:v>0.99826539643945422</c:v>
                </c:pt>
                <c:pt idx="57">
                  <c:v>0.99862155620395465</c:v>
                </c:pt>
                <c:pt idx="58">
                  <c:v>0.99893082009499623</c:v>
                </c:pt>
                <c:pt idx="59">
                  <c:v>0.99919579209949161</c:v>
                </c:pt>
                <c:pt idx="60">
                  <c:v>0.99941892593658099</c:v>
                </c:pt>
                <c:pt idx="61">
                  <c:v>0.999602534857855</c:v>
                </c:pt>
                <c:pt idx="62">
                  <c:v>0.99974880072200889</c:v>
                </c:pt>
                <c:pt idx="63">
                  <c:v>0.99985978240423978</c:v>
                </c:pt>
                <c:pt idx="64">
                  <c:v>0.99993742359514326</c:v>
                </c:pt>
                <c:pt idx="65">
                  <c:v>0.9999835600388618</c:v>
                </c:pt>
                <c:pt idx="66">
                  <c:v>0.99999992625574252</c:v>
                </c:pt>
                <c:pt idx="67">
                  <c:v>1</c:v>
                </c:pt>
              </c:numCache>
            </c:numRef>
          </c:xVal>
          <c:yVal>
            <c:numRef>
              <c:f>'Graph Data'!$AC$3:$AC$91</c:f>
              <c:numCache>
                <c:formatCode>General</c:formatCode>
                <c:ptCount val="89"/>
                <c:pt idx="0">
                  <c:v>1</c:v>
                </c:pt>
                <c:pt idx="1">
                  <c:v>0.98327414342465125</c:v>
                </c:pt>
                <c:pt idx="2">
                  <c:v>0.96709504546812308</c:v>
                </c:pt>
                <c:pt idx="3">
                  <c:v>0.95143627188225355</c:v>
                </c:pt>
                <c:pt idx="4">
                  <c:v>0.93627306548410649</c:v>
                </c:pt>
                <c:pt idx="5">
                  <c:v>0.92158221523605777</c:v>
                </c:pt>
                <c:pt idx="6">
                  <c:v>0.90734193740164515</c:v>
                </c:pt>
                <c:pt idx="7">
                  <c:v>0.89353176749736696</c:v>
                </c:pt>
                <c:pt idx="8">
                  <c:v>0.88620274469563631</c:v>
                </c:pt>
                <c:pt idx="9">
                  <c:v>0.47732136143871817</c:v>
                </c:pt>
                <c:pt idx="10">
                  <c:v>0.33047620548151485</c:v>
                </c:pt>
                <c:pt idx="11">
                  <c:v>0.32284435023319624</c:v>
                </c:pt>
                <c:pt idx="12">
                  <c:v>0.31553947429908552</c:v>
                </c:pt>
                <c:pt idx="13">
                  <c:v>0.30854071792582449</c:v>
                </c:pt>
                <c:pt idx="14">
                  <c:v>0.30182896291866373</c:v>
                </c:pt>
                <c:pt idx="15">
                  <c:v>0.29538665465026259</c:v>
                </c:pt>
                <c:pt idx="16">
                  <c:v>0.28919764545935223</c:v>
                </c:pt>
                <c:pt idx="17">
                  <c:v>0.28324705649923249</c:v>
                </c:pt>
                <c:pt idx="18">
                  <c:v>0.27752115554901613</c:v>
                </c:pt>
                <c:pt idx="19">
                  <c:v>0.27200724867645359</c:v>
                </c:pt>
                <c:pt idx="20">
                  <c:v>0.26669358395436388</c:v>
                </c:pt>
                <c:pt idx="21">
                  <c:v>0.26156926569455968</c:v>
                </c:pt>
                <c:pt idx="22">
                  <c:v>0.25662417788288838</c:v>
                </c:pt>
                <c:pt idx="23">
                  <c:v>0.25184891568399809</c:v>
                </c:pt>
                <c:pt idx="24">
                  <c:v>0.24723472404068708</c:v>
                </c:pt>
                <c:pt idx="25">
                  <c:v>0.24277344252508132</c:v>
                </c:pt>
                <c:pt idx="26">
                  <c:v>0.23845745571138852</c:v>
                </c:pt>
                <c:pt idx="27">
                  <c:v>0.23427964843585775</c:v>
                </c:pt>
                <c:pt idx="28">
                  <c:v>0.23023336539152928</c:v>
                </c:pt>
                <c:pt idx="29">
                  <c:v>0.2263123745755832</c:v>
                </c:pt>
                <c:pt idx="30">
                  <c:v>0.22251083416744075</c:v>
                </c:pt>
                <c:pt idx="31">
                  <c:v>0.21882326246774642</c:v>
                </c:pt>
                <c:pt idx="32">
                  <c:v>0.21524451057324517</c:v>
                </c:pt>
                <c:pt idx="33">
                  <c:v>0.21176973750141037</c:v>
                </c:pt>
                <c:pt idx="34">
                  <c:v>0.20839438751238232</c:v>
                </c:pt>
                <c:pt idx="35">
                  <c:v>0.20511416940507313</c:v>
                </c:pt>
                <c:pt idx="36">
                  <c:v>0.20192503758982353</c:v>
                </c:pt>
                <c:pt idx="37">
                  <c:v>0.19882317476228548</c:v>
                </c:pt>
                <c:pt idx="38">
                  <c:v>0.19580497602270636</c:v>
                </c:pt>
                <c:pt idx="39">
                  <c:v>0.19286703430188068</c:v>
                </c:pt>
                <c:pt idx="40">
                  <c:v>0.19000612697005162</c:v>
                </c:pt>
                <c:pt idx="41">
                  <c:v>0.18721920351825042</c:v>
                </c:pt>
                <c:pt idx="42">
                  <c:v>0.18450337421320911</c:v>
                </c:pt>
                <c:pt idx="43">
                  <c:v>0.18185589963725923</c:v>
                </c:pt>
                <c:pt idx="44">
                  <c:v>0.17927418103372678</c:v>
                </c:pt>
                <c:pt idx="45">
                  <c:v>0.17675575138638788</c:v>
                </c:pt>
                <c:pt idx="46">
                  <c:v>0.17429826716870134</c:v>
                </c:pt>
                <c:pt idx="47">
                  <c:v>0.1718995007048873</c:v>
                </c:pt>
                <c:pt idx="48">
                  <c:v>0.16955733309057913</c:v>
                </c:pt>
                <c:pt idx="49">
                  <c:v>0.16726974762581739</c:v>
                </c:pt>
                <c:pt idx="50">
                  <c:v>0.16503482371765629</c:v>
                </c:pt>
                <c:pt idx="51">
                  <c:v>0.16285073121367943</c:v>
                </c:pt>
                <c:pt idx="52">
                  <c:v>0.16071572513132334</c:v>
                </c:pt>
                <c:pt idx="53">
                  <c:v>0.15862814075113796</c:v>
                </c:pt>
                <c:pt idx="54">
                  <c:v>0.15658638904501304</c:v>
                </c:pt>
                <c:pt idx="55">
                  <c:v>0.15458895241300563</c:v>
                </c:pt>
                <c:pt idx="56">
                  <c:v>0.15263438070474789</c:v>
                </c:pt>
                <c:pt idx="57">
                  <c:v>0.15072128750353014</c:v>
                </c:pt>
                <c:pt idx="58">
                  <c:v>0.14884834665305754</c:v>
                </c:pt>
                <c:pt idx="59">
                  <c:v>0.14701428900860189</c:v>
                </c:pt>
                <c:pt idx="60">
                  <c:v>0.14521789939582702</c:v>
                </c:pt>
                <c:pt idx="61">
                  <c:v>0.14345801376197437</c:v>
                </c:pt>
                <c:pt idx="62">
                  <c:v>0.14173351650537316</c:v>
                </c:pt>
                <c:pt idx="63">
                  <c:v>0.14004333797039703</c:v>
                </c:pt>
                <c:pt idx="64">
                  <c:v>0.1383864520960417</c:v>
                </c:pt>
                <c:pt idx="65">
                  <c:v>0.13676187420725386</c:v>
                </c:pt>
                <c:pt idx="66">
                  <c:v>0.13516865893901203</c:v>
                </c:pt>
                <c:pt idx="67">
                  <c:v>0.13505431842902257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0-4BE0-AB61-1937DF2EE77F}"/>
            </c:ext>
          </c:extLst>
        </c:ser>
        <c:ser>
          <c:idx val="2"/>
          <c:order val="2"/>
          <c:tx>
            <c:strRef>
              <c:f>'Graph Data'!$AD$1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0.12397398465502502</c:v>
                </c:pt>
                <c:pt idx="2">
                  <c:v>0.24179770845392906</c:v>
                </c:pt>
                <c:pt idx="3">
                  <c:v>0.35386620923865403</c:v>
                </c:pt>
                <c:pt idx="4">
                  <c:v>0.46054339182834358</c:v>
                </c:pt>
                <c:pt idx="5">
                  <c:v>0.56216492409211805</c:v>
                </c:pt>
                <c:pt idx="6">
                  <c:v>0.65904082364054617</c:v>
                </c:pt>
                <c:pt idx="7">
                  <c:v>0.75145777233252142</c:v>
                </c:pt>
                <c:pt idx="8">
                  <c:v>0.79988966041124532</c:v>
                </c:pt>
                <c:pt idx="9">
                  <c:v>0.79990646044633396</c:v>
                </c:pt>
                <c:pt idx="10">
                  <c:v>0.79990646044633396</c:v>
                </c:pt>
                <c:pt idx="11">
                  <c:v>0.81470808560383134</c:v>
                </c:pt>
                <c:pt idx="12">
                  <c:v>0.82837480844970135</c:v>
                </c:pt>
                <c:pt idx="13">
                  <c:v>0.84100673074942212</c:v>
                </c:pt>
                <c:pt idx="14">
                  <c:v>0.85269344704167782</c:v>
                </c:pt>
                <c:pt idx="15">
                  <c:v>0.86351533030838001</c:v>
                </c:pt>
                <c:pt idx="16">
                  <c:v>0.87354463838211871</c:v>
                </c:pt>
                <c:pt idx="17">
                  <c:v>0.88284646905144004</c:v>
                </c:pt>
                <c:pt idx="18">
                  <c:v>0.89147958701648444</c:v>
                </c:pt>
                <c:pt idx="19">
                  <c:v>0.899497141940513</c:v>
                </c:pt>
                <c:pt idx="20">
                  <c:v>0.9069472936544769</c:v>
                </c:pt>
                <c:pt idx="21">
                  <c:v>0.91387375795935066</c:v>
                </c:pt>
                <c:pt idx="22">
                  <c:v>0.92031628432208756</c:v>
                </c:pt>
                <c:pt idx="23">
                  <c:v>0.92631107498688359</c:v>
                </c:pt>
                <c:pt idx="24">
                  <c:v>0.93189115355336438</c:v>
                </c:pt>
                <c:pt idx="25">
                  <c:v>0.93708668985098376</c:v>
                </c:pt>
                <c:pt idx="26">
                  <c:v>0.94192528691920385</c:v>
                </c:pt>
                <c:pt idx="27">
                  <c:v>0.94643223504959273</c:v>
                </c:pt>
                <c:pt idx="28">
                  <c:v>0.95063073712948953</c:v>
                </c:pt>
                <c:pt idx="29">
                  <c:v>0.95454210892357361</c:v>
                </c:pt>
                <c:pt idx="30">
                  <c:v>0.95818595742018786</c:v>
                </c:pt>
                <c:pt idx="31">
                  <c:v>0.9615803399377999</c:v>
                </c:pt>
                <c:pt idx="32">
                  <c:v>0.96474190632062151</c:v>
                </c:pt>
                <c:pt idx="33">
                  <c:v>0.96768602624048261</c:v>
                </c:pt>
                <c:pt idx="34">
                  <c:v>0.97042690335583603</c:v>
                </c:pt>
                <c:pt idx="35">
                  <c:v>0.97297767785097211</c:v>
                </c:pt>
                <c:pt idx="36">
                  <c:v>0.97535051868316081</c:v>
                </c:pt>
                <c:pt idx="37">
                  <c:v>0.97755670669749295</c:v>
                </c:pt>
                <c:pt idx="38">
                  <c:v>0.97960670962449514</c:v>
                </c:pt>
                <c:pt idx="39">
                  <c:v>0.9815102498506626</c:v>
                </c:pt>
                <c:pt idx="40">
                  <c:v>0.98327636574395016</c:v>
                </c:pt>
                <c:pt idx="41">
                  <c:v>0.98491346722253592</c:v>
                </c:pt>
                <c:pt idx="42">
                  <c:v>0.98642938617374731</c:v>
                </c:pt>
                <c:pt idx="43">
                  <c:v>0.98783142225916132</c:v>
                </c:pt>
                <c:pt idx="44">
                  <c:v>0.98912638458008217</c:v>
                </c:pt>
                <c:pt idx="45">
                  <c:v>0.99032062962359901</c:v>
                </c:pt>
                <c:pt idx="46">
                  <c:v>0.99142009586215818</c:v>
                </c:pt>
                <c:pt idx="47">
                  <c:v>0.99243033533815095</c:v>
                </c:pt>
                <c:pt idx="48">
                  <c:v>0.9933565425286206</c:v>
                </c:pt>
                <c:pt idx="49">
                  <c:v>0.9942035807531785</c:v>
                </c:pt>
                <c:pt idx="50">
                  <c:v>0.99497600636001515</c:v>
                </c:pt>
                <c:pt idx="51">
                  <c:v>0.99567809089999137</c:v>
                </c:pt>
                <c:pt idx="52">
                  <c:v>0.99631384147680613</c:v>
                </c:pt>
                <c:pt idx="53">
                  <c:v>0.99688701944174973</c:v>
                </c:pt>
                <c:pt idx="54">
                  <c:v>0.99740115758430359</c:v>
                </c:pt>
                <c:pt idx="55">
                  <c:v>0.99785957595451447</c:v>
                </c:pt>
                <c:pt idx="56">
                  <c:v>0.99826539643945422</c:v>
                </c:pt>
                <c:pt idx="57">
                  <c:v>0.99862155620395465</c:v>
                </c:pt>
                <c:pt idx="58">
                  <c:v>0.99893082009499623</c:v>
                </c:pt>
                <c:pt idx="59">
                  <c:v>0.99919579209949161</c:v>
                </c:pt>
                <c:pt idx="60">
                  <c:v>0.99941892593658099</c:v>
                </c:pt>
                <c:pt idx="61">
                  <c:v>0.999602534857855</c:v>
                </c:pt>
                <c:pt idx="62">
                  <c:v>0.99974880072200889</c:v>
                </c:pt>
                <c:pt idx="63">
                  <c:v>0.99985978240423978</c:v>
                </c:pt>
                <c:pt idx="64">
                  <c:v>0.99993742359514326</c:v>
                </c:pt>
                <c:pt idx="65">
                  <c:v>0.9999835600388618</c:v>
                </c:pt>
                <c:pt idx="66">
                  <c:v>0.99999992625574252</c:v>
                </c:pt>
                <c:pt idx="67">
                  <c:v>1</c:v>
                </c:pt>
              </c:numCache>
            </c:numRef>
          </c:xVal>
          <c:yVal>
            <c:numRef>
              <c:f>'Graph Data'!$AD$3:$AD$91</c:f>
              <c:numCache>
                <c:formatCode>General</c:formatCode>
                <c:ptCount val="89"/>
                <c:pt idx="0">
                  <c:v>1</c:v>
                </c:pt>
                <c:pt idx="1">
                  <c:v>0.9837843557914967</c:v>
                </c:pt>
                <c:pt idx="2">
                  <c:v>0.96810729741223567</c:v>
                </c:pt>
                <c:pt idx="3">
                  <c:v>0.95294279140802818</c:v>
                </c:pt>
                <c:pt idx="4">
                  <c:v>0.93826645605654424</c:v>
                </c:pt>
                <c:pt idx="5">
                  <c:v>0.92405543242514898</c:v>
                </c:pt>
                <c:pt idx="6">
                  <c:v>0.91028826732207979</c:v>
                </c:pt>
                <c:pt idx="7">
                  <c:v>0.89694480688048228</c:v>
                </c:pt>
                <c:pt idx="8">
                  <c:v>0.88986674635406049</c:v>
                </c:pt>
                <c:pt idx="9">
                  <c:v>0.88988633508527104</c:v>
                </c:pt>
                <c:pt idx="10">
                  <c:v>0.37161017948345654</c:v>
                </c:pt>
                <c:pt idx="11">
                  <c:v>0.36520712863653865</c:v>
                </c:pt>
                <c:pt idx="12">
                  <c:v>0.35913051477016067</c:v>
                </c:pt>
                <c:pt idx="13">
                  <c:v>0.35335990346717933</c:v>
                </c:pt>
                <c:pt idx="14">
                  <c:v>0.34787657635808245</c:v>
                </c:pt>
                <c:pt idx="15">
                  <c:v>0.3426633558341966</c:v>
                </c:pt>
                <c:pt idx="16">
                  <c:v>0.33770445082754108</c:v>
                </c:pt>
                <c:pt idx="17">
                  <c:v>0.33298532076171222</c:v>
                </c:pt>
                <c:pt idx="18">
                  <c:v>0.32849255522428195</c:v>
                </c:pt>
                <c:pt idx="19">
                  <c:v>0.32421376728143558</c:v>
                </c:pt>
                <c:pt idx="20">
                  <c:v>0.32013749866404012</c:v>
                </c:pt>
                <c:pt idx="21">
                  <c:v>0.31625313531222898</c:v>
                </c:pt>
                <c:pt idx="22">
                  <c:v>0.31255083198201833</c:v>
                </c:pt>
                <c:pt idx="23">
                  <c:v>0.30902144479965216</c:v>
                </c:pt>
                <c:pt idx="24">
                  <c:v>0.30565647080326658</c:v>
                </c:pt>
                <c:pt idx="25">
                  <c:v>0.30244799364184943</c:v>
                </c:pt>
                <c:pt idx="26">
                  <c:v>0.299388634712278</c:v>
                </c:pt>
                <c:pt idx="27">
                  <c:v>0.29647150910964415</c:v>
                </c:pt>
                <c:pt idx="28">
                  <c:v>0.29369018584680157</c:v>
                </c:pt>
                <c:pt idx="29">
                  <c:v>0.29103865186822403</c:v>
                </c:pt>
                <c:pt idx="30">
                  <c:v>0.28851127944270816</c:v>
                </c:pt>
                <c:pt idx="31">
                  <c:v>0.28610279657063098</c:v>
                </c:pt>
                <c:pt idx="32">
                  <c:v>0.2838082600856926</c:v>
                </c:pt>
                <c:pt idx="33">
                  <c:v>0.28162303116931836</c:v>
                </c:pt>
                <c:pt idx="34">
                  <c:v>0.27954275302910098</c:v>
                </c:pt>
                <c:pt idx="35">
                  <c:v>0.27756333052150367</c:v>
                </c:pt>
                <c:pt idx="36">
                  <c:v>0.27568091152420338</c:v>
                </c:pt>
                <c:pt idx="37">
                  <c:v>0.27389186988539227</c:v>
                </c:pt>
                <c:pt idx="38">
                  <c:v>0.27219278979657291</c:v>
                </c:pt>
                <c:pt idx="39">
                  <c:v>0.27058045145220605</c:v>
                </c:pt>
                <c:pt idx="40">
                  <c:v>0.26905181787436894</c:v>
                </c:pt>
                <c:pt idx="41">
                  <c:v>0.26760402279357864</c:v>
                </c:pt>
                <c:pt idx="42">
                  <c:v>0.26623435948841273</c:v>
                </c:pt>
                <c:pt idx="43">
                  <c:v>0.26494027049668051</c:v>
                </c:pt>
                <c:pt idx="44">
                  <c:v>0.26371933811985632</c:v>
                </c:pt>
                <c:pt idx="45">
                  <c:v>0.26256927565042093</c:v>
                </c:pt>
                <c:pt idx="46">
                  <c:v>0.26148791925879933</c:v>
                </c:pt>
                <c:pt idx="47">
                  <c:v>0.26047322048284161</c:v>
                </c:pt>
                <c:pt idx="48">
                  <c:v>0.25952323926836507</c:v>
                </c:pt>
                <c:pt idx="49">
                  <c:v>0.25863613751424142</c:v>
                </c:pt>
                <c:pt idx="50">
                  <c:v>0.25781017307994841</c:v>
                </c:pt>
                <c:pt idx="51">
                  <c:v>0.25704369421746537</c:v>
                </c:pt>
                <c:pt idx="52">
                  <c:v>0.25633513439294814</c:v>
                </c:pt>
                <c:pt idx="53">
                  <c:v>0.25568300746679151</c:v>
                </c:pt>
                <c:pt idx="54">
                  <c:v>0.2550859032035499</c:v>
                </c:pt>
                <c:pt idx="55">
                  <c:v>0.25454248308575095</c:v>
                </c:pt>
                <c:pt idx="56">
                  <c:v>0.25405147640794595</c:v>
                </c:pt>
                <c:pt idx="57">
                  <c:v>0.25361167662942447</c:v>
                </c:pt>
                <c:pt idx="58">
                  <c:v>0.25322193796589537</c:v>
                </c:pt>
                <c:pt idx="59">
                  <c:v>0.25288117220213485</c:v>
                </c:pt>
                <c:pt idx="60">
                  <c:v>0.25258834570913219</c:v>
                </c:pt>
                <c:pt idx="61">
                  <c:v>0.25234247665065579</c:v>
                </c:pt>
                <c:pt idx="62">
                  <c:v>0.25214263236541368</c:v>
                </c:pt>
                <c:pt idx="63">
                  <c:v>0.25198792691213162</c:v>
                </c:pt>
                <c:pt idx="64">
                  <c:v>0.2518775187658987</c:v>
                </c:pt>
                <c:pt idx="65">
                  <c:v>0.2518106086550807</c:v>
                </c:pt>
                <c:pt idx="66">
                  <c:v>0.25178643752895236</c:v>
                </c:pt>
                <c:pt idx="67">
                  <c:v>0.25178632714444732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00-4BE0-AB61-1937DF2EE77F}"/>
            </c:ext>
          </c:extLst>
        </c:ser>
        <c:ser>
          <c:idx val="3"/>
          <c:order val="3"/>
          <c:tx>
            <c:strRef>
              <c:f>'Graph Data'!$AE$1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0.12397398465502502</c:v>
                </c:pt>
                <c:pt idx="2">
                  <c:v>0.24179770845392906</c:v>
                </c:pt>
                <c:pt idx="3">
                  <c:v>0.35386620923865403</c:v>
                </c:pt>
                <c:pt idx="4">
                  <c:v>0.46054339182834358</c:v>
                </c:pt>
                <c:pt idx="5">
                  <c:v>0.56216492409211805</c:v>
                </c:pt>
                <c:pt idx="6">
                  <c:v>0.65904082364054617</c:v>
                </c:pt>
                <c:pt idx="7">
                  <c:v>0.75145777233252142</c:v>
                </c:pt>
                <c:pt idx="8">
                  <c:v>0.79988966041124532</c:v>
                </c:pt>
                <c:pt idx="9">
                  <c:v>0.79990646044633396</c:v>
                </c:pt>
                <c:pt idx="10">
                  <c:v>0.79990646044633396</c:v>
                </c:pt>
                <c:pt idx="11">
                  <c:v>0.81470808560383134</c:v>
                </c:pt>
                <c:pt idx="12">
                  <c:v>0.82837480844970135</c:v>
                </c:pt>
                <c:pt idx="13">
                  <c:v>0.84100673074942212</c:v>
                </c:pt>
                <c:pt idx="14">
                  <c:v>0.85269344704167782</c:v>
                </c:pt>
                <c:pt idx="15">
                  <c:v>0.86351533030838001</c:v>
                </c:pt>
                <c:pt idx="16">
                  <c:v>0.87354463838211871</c:v>
                </c:pt>
                <c:pt idx="17">
                  <c:v>0.88284646905144004</c:v>
                </c:pt>
                <c:pt idx="18">
                  <c:v>0.89147958701648444</c:v>
                </c:pt>
                <c:pt idx="19">
                  <c:v>0.899497141940513</c:v>
                </c:pt>
                <c:pt idx="20">
                  <c:v>0.9069472936544769</c:v>
                </c:pt>
                <c:pt idx="21">
                  <c:v>0.91387375795935066</c:v>
                </c:pt>
                <c:pt idx="22">
                  <c:v>0.92031628432208756</c:v>
                </c:pt>
                <c:pt idx="23">
                  <c:v>0.92631107498688359</c:v>
                </c:pt>
                <c:pt idx="24">
                  <c:v>0.93189115355336438</c:v>
                </c:pt>
                <c:pt idx="25">
                  <c:v>0.93708668985098376</c:v>
                </c:pt>
                <c:pt idx="26">
                  <c:v>0.94192528691920385</c:v>
                </c:pt>
                <c:pt idx="27">
                  <c:v>0.94643223504959273</c:v>
                </c:pt>
                <c:pt idx="28">
                  <c:v>0.95063073712948953</c:v>
                </c:pt>
                <c:pt idx="29">
                  <c:v>0.95454210892357361</c:v>
                </c:pt>
                <c:pt idx="30">
                  <c:v>0.95818595742018786</c:v>
                </c:pt>
                <c:pt idx="31">
                  <c:v>0.9615803399377999</c:v>
                </c:pt>
                <c:pt idx="32">
                  <c:v>0.96474190632062151</c:v>
                </c:pt>
                <c:pt idx="33">
                  <c:v>0.96768602624048261</c:v>
                </c:pt>
                <c:pt idx="34">
                  <c:v>0.97042690335583603</c:v>
                </c:pt>
                <c:pt idx="35">
                  <c:v>0.97297767785097211</c:v>
                </c:pt>
                <c:pt idx="36">
                  <c:v>0.97535051868316081</c:v>
                </c:pt>
                <c:pt idx="37">
                  <c:v>0.97755670669749295</c:v>
                </c:pt>
                <c:pt idx="38">
                  <c:v>0.97960670962449514</c:v>
                </c:pt>
                <c:pt idx="39">
                  <c:v>0.9815102498506626</c:v>
                </c:pt>
                <c:pt idx="40">
                  <c:v>0.98327636574395016</c:v>
                </c:pt>
                <c:pt idx="41">
                  <c:v>0.98491346722253592</c:v>
                </c:pt>
                <c:pt idx="42">
                  <c:v>0.98642938617374731</c:v>
                </c:pt>
                <c:pt idx="43">
                  <c:v>0.98783142225916132</c:v>
                </c:pt>
                <c:pt idx="44">
                  <c:v>0.98912638458008217</c:v>
                </c:pt>
                <c:pt idx="45">
                  <c:v>0.99032062962359901</c:v>
                </c:pt>
                <c:pt idx="46">
                  <c:v>0.99142009586215818</c:v>
                </c:pt>
                <c:pt idx="47">
                  <c:v>0.99243033533815095</c:v>
                </c:pt>
                <c:pt idx="48">
                  <c:v>0.9933565425286206</c:v>
                </c:pt>
                <c:pt idx="49">
                  <c:v>0.9942035807531785</c:v>
                </c:pt>
                <c:pt idx="50">
                  <c:v>0.99497600636001515</c:v>
                </c:pt>
                <c:pt idx="51">
                  <c:v>0.99567809089999137</c:v>
                </c:pt>
                <c:pt idx="52">
                  <c:v>0.99631384147680613</c:v>
                </c:pt>
                <c:pt idx="53">
                  <c:v>0.99688701944174973</c:v>
                </c:pt>
                <c:pt idx="54">
                  <c:v>0.99740115758430359</c:v>
                </c:pt>
                <c:pt idx="55">
                  <c:v>0.99785957595451447</c:v>
                </c:pt>
                <c:pt idx="56">
                  <c:v>0.99826539643945422</c:v>
                </c:pt>
                <c:pt idx="57">
                  <c:v>0.99862155620395465</c:v>
                </c:pt>
                <c:pt idx="58">
                  <c:v>0.99893082009499623</c:v>
                </c:pt>
                <c:pt idx="59">
                  <c:v>0.99919579209949161</c:v>
                </c:pt>
                <c:pt idx="60">
                  <c:v>0.99941892593658099</c:v>
                </c:pt>
                <c:pt idx="61">
                  <c:v>0.999602534857855</c:v>
                </c:pt>
                <c:pt idx="62">
                  <c:v>0.99974880072200889</c:v>
                </c:pt>
                <c:pt idx="63">
                  <c:v>0.99985978240423978</c:v>
                </c:pt>
                <c:pt idx="64">
                  <c:v>0.99993742359514326</c:v>
                </c:pt>
                <c:pt idx="65">
                  <c:v>0.9999835600388618</c:v>
                </c:pt>
                <c:pt idx="66">
                  <c:v>0.99999992625574252</c:v>
                </c:pt>
                <c:pt idx="67">
                  <c:v>1</c:v>
                </c:pt>
              </c:numCache>
            </c:numRef>
          </c:xVal>
          <c:yVal>
            <c:numRef>
              <c:f>'Graph Data'!$AE$3:$AE$91</c:f>
              <c:numCache>
                <c:formatCode>General</c:formatCode>
                <c:ptCount val="89"/>
                <c:pt idx="0">
                  <c:v>1</c:v>
                </c:pt>
                <c:pt idx="1">
                  <c:v>0.99985179478626462</c:v>
                </c:pt>
                <c:pt idx="2">
                  <c:v>0.9997011458259879</c:v>
                </c:pt>
                <c:pt idx="3">
                  <c:v>0.99954805534806357</c:v>
                </c:pt>
                <c:pt idx="4">
                  <c:v>0.99939252561647318</c:v>
                </c:pt>
                <c:pt idx="5">
                  <c:v>0.99923455893020252</c:v>
                </c:pt>
                <c:pt idx="6">
                  <c:v>0.99907415762315777</c:v>
                </c:pt>
                <c:pt idx="7">
                  <c:v>0.99891132406407956</c:v>
                </c:pt>
                <c:pt idx="8">
                  <c:v>0.99882184531074525</c:v>
                </c:pt>
                <c:pt idx="9">
                  <c:v>0.83696543651041233</c:v>
                </c:pt>
                <c:pt idx="10">
                  <c:v>0.96703812909496178</c:v>
                </c:pt>
                <c:pt idx="11">
                  <c:v>0.96538629032892975</c:v>
                </c:pt>
                <c:pt idx="12">
                  <c:v>0.96370309593743775</c:v>
                </c:pt>
                <c:pt idx="13">
                  <c:v>0.96198890310108798</c:v>
                </c:pt>
                <c:pt idx="14">
                  <c:v>0.96024407360391839</c:v>
                </c:pt>
                <c:pt idx="15">
                  <c:v>0.958468973654509</c:v>
                </c:pt>
                <c:pt idx="16">
                  <c:v>0.95666397370647938</c:v>
                </c:pt>
                <c:pt idx="17">
                  <c:v>0.95482944827852545</c:v>
                </c:pt>
                <c:pt idx="18">
                  <c:v>0.95296577577414987</c:v>
                </c:pt>
                <c:pt idx="19">
                  <c:v>0.95107333830122942</c:v>
                </c:pt>
                <c:pt idx="20">
                  <c:v>0.94915252149156459</c:v>
                </c:pt>
                <c:pt idx="21">
                  <c:v>0.94720371432055916</c:v>
                </c:pt>
                <c:pt idx="22">
                  <c:v>0.94522730892716533</c:v>
                </c:pt>
                <c:pt idx="23">
                  <c:v>0.94322370043423454</c:v>
                </c:pt>
                <c:pt idx="24">
                  <c:v>0.94119328676941116</c:v>
                </c:pt>
                <c:pt idx="25">
                  <c:v>0.93913646848670007</c:v>
                </c:pt>
                <c:pt idx="26">
                  <c:v>0.93705364858883744</c:v>
                </c:pt>
                <c:pt idx="27">
                  <c:v>0.93494523235059479</c:v>
                </c:pt>
                <c:pt idx="28">
                  <c:v>0.93281162714313548</c:v>
                </c:pt>
                <c:pt idx="29">
                  <c:v>0.9306532422595486</c:v>
                </c:pt>
                <c:pt idx="30">
                  <c:v>0.92847048874167304</c:v>
                </c:pt>
                <c:pt idx="31">
                  <c:v>0.92626377920833081</c:v>
                </c:pt>
                <c:pt idx="32">
                  <c:v>0.92403352768507196</c:v>
                </c:pt>
                <c:pt idx="33">
                  <c:v>0.9217801494355472</c:v>
                </c:pt>
                <c:pt idx="34">
                  <c:v>0.91950406079460167</c:v>
                </c:pt>
                <c:pt idx="35">
                  <c:v>0.91720567900319772</c:v>
                </c:pt>
                <c:pt idx="36">
                  <c:v>0.91488542204525303</c:v>
                </c:pt>
                <c:pt idx="37">
                  <c:v>0.91254370848649524</c:v>
                </c:pt>
                <c:pt idx="38">
                  <c:v>0.91018095731541226</c:v>
                </c:pt>
                <c:pt idx="39">
                  <c:v>0.90779758778638864</c:v>
                </c:pt>
                <c:pt idx="40">
                  <c:v>0.90539401926510388</c:v>
                </c:pt>
                <c:pt idx="41">
                  <c:v>0.90297067107626938</c:v>
                </c:pt>
                <c:pt idx="42">
                  <c:v>0.90052796235377963</c:v>
                </c:pt>
                <c:pt idx="43">
                  <c:v>0.89806631189333996</c:v>
                </c:pt>
                <c:pt idx="44">
                  <c:v>0.89558613800764053</c:v>
                </c:pt>
                <c:pt idx="45">
                  <c:v>0.89308785838413374</c:v>
                </c:pt>
                <c:pt idx="46">
                  <c:v>0.89057188994547265</c:v>
                </c:pt>
                <c:pt idx="47">
                  <c:v>0.88803864871266347</c:v>
                </c:pt>
                <c:pt idx="48">
                  <c:v>0.88548854967098045</c:v>
                </c:pt>
                <c:pt idx="49">
                  <c:v>0.88292200663868747</c:v>
                </c:pt>
                <c:pt idx="50">
                  <c:v>0.88033943213860855</c:v>
                </c:pt>
                <c:pt idx="51">
                  <c:v>0.87774123727258568</c:v>
                </c:pt>
                <c:pt idx="52">
                  <c:v>0.87512783159885466</c:v>
                </c:pt>
                <c:pt idx="53">
                  <c:v>0.87249962301237249</c:v>
                </c:pt>
                <c:pt idx="54">
                  <c:v>0.86985701762812229</c:v>
                </c:pt>
                <c:pt idx="55">
                  <c:v>0.86720041966741612</c:v>
                </c:pt>
                <c:pt idx="56">
                  <c:v>0.86453023134721974</c:v>
                </c:pt>
                <c:pt idx="57">
                  <c:v>0.86184685277251261</c:v>
                </c:pt>
                <c:pt idx="58">
                  <c:v>0.85915068183169596</c:v>
                </c:pt>
                <c:pt idx="59">
                  <c:v>0.85644211409506288</c:v>
                </c:pt>
                <c:pt idx="60">
                  <c:v>0.85372154271633049</c:v>
                </c:pt>
                <c:pt idx="61">
                  <c:v>0.85098935833724298</c:v>
                </c:pt>
                <c:pt idx="62">
                  <c:v>0.84824594899524597</c:v>
                </c:pt>
                <c:pt idx="63">
                  <c:v>0.8454917000342248</c:v>
                </c:pt>
                <c:pt idx="64">
                  <c:v>0.84272699401830853</c:v>
                </c:pt>
                <c:pt idx="65">
                  <c:v>0.8399522106487266</c:v>
                </c:pt>
                <c:pt idx="66">
                  <c:v>0.83716772668370953</c:v>
                </c:pt>
                <c:pt idx="67">
                  <c:v>0.83696543651041233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00-4BE0-AB61-1937DF2E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99</xdr:row>
      <xdr:rowOff>28575</xdr:rowOff>
    </xdr:from>
    <xdr:to>
      <xdr:col>14</xdr:col>
      <xdr:colOff>255878</xdr:colOff>
      <xdr:row>104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115</xdr:row>
          <xdr:rowOff>95250</xdr:rowOff>
        </xdr:from>
        <xdr:to>
          <xdr:col>8</xdr:col>
          <xdr:colOff>495300</xdr:colOff>
          <xdr:row>119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116</xdr:row>
      <xdr:rowOff>0</xdr:rowOff>
    </xdr:from>
    <xdr:to>
      <xdr:col>5</xdr:col>
      <xdr:colOff>600075</xdr:colOff>
      <xdr:row>116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121</xdr:row>
      <xdr:rowOff>95250</xdr:rowOff>
    </xdr:from>
    <xdr:to>
      <xdr:col>5</xdr:col>
      <xdr:colOff>104775</xdr:colOff>
      <xdr:row>122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123</xdr:row>
      <xdr:rowOff>114300</xdr:rowOff>
    </xdr:from>
    <xdr:to>
      <xdr:col>5</xdr:col>
      <xdr:colOff>161925</xdr:colOff>
      <xdr:row>127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126</xdr:row>
      <xdr:rowOff>123825</xdr:rowOff>
    </xdr:from>
    <xdr:to>
      <xdr:col>5</xdr:col>
      <xdr:colOff>152400</xdr:colOff>
      <xdr:row>129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128</xdr:row>
      <xdr:rowOff>114300</xdr:rowOff>
    </xdr:from>
    <xdr:to>
      <xdr:col>5</xdr:col>
      <xdr:colOff>161925</xdr:colOff>
      <xdr:row>131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130</xdr:row>
      <xdr:rowOff>133350</xdr:rowOff>
    </xdr:from>
    <xdr:to>
      <xdr:col>5</xdr:col>
      <xdr:colOff>190500</xdr:colOff>
      <xdr:row>134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140</xdr:row>
      <xdr:rowOff>142875</xdr:rowOff>
    </xdr:from>
    <xdr:to>
      <xdr:col>5</xdr:col>
      <xdr:colOff>209550</xdr:colOff>
      <xdr:row>141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140</xdr:row>
      <xdr:rowOff>85725</xdr:rowOff>
    </xdr:from>
    <xdr:to>
      <xdr:col>2</xdr:col>
      <xdr:colOff>247651</xdr:colOff>
      <xdr:row>151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158</xdr:row>
      <xdr:rowOff>114300</xdr:rowOff>
    </xdr:from>
    <xdr:to>
      <xdr:col>4</xdr:col>
      <xdr:colOff>552450</xdr:colOff>
      <xdr:row>159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160</xdr:row>
      <xdr:rowOff>104775</xdr:rowOff>
    </xdr:from>
    <xdr:to>
      <xdr:col>4</xdr:col>
      <xdr:colOff>571500</xdr:colOff>
      <xdr:row>163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163</xdr:row>
      <xdr:rowOff>114299</xdr:rowOff>
    </xdr:from>
    <xdr:to>
      <xdr:col>4</xdr:col>
      <xdr:colOff>590550</xdr:colOff>
      <xdr:row>168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165</xdr:row>
      <xdr:rowOff>133349</xdr:rowOff>
    </xdr:from>
    <xdr:to>
      <xdr:col>4</xdr:col>
      <xdr:colOff>561975</xdr:colOff>
      <xdr:row>173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169</xdr:row>
      <xdr:rowOff>123826</xdr:rowOff>
    </xdr:from>
    <xdr:to>
      <xdr:col>4</xdr:col>
      <xdr:colOff>581028</xdr:colOff>
      <xdr:row>176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171</xdr:row>
      <xdr:rowOff>95254</xdr:rowOff>
    </xdr:from>
    <xdr:to>
      <xdr:col>4</xdr:col>
      <xdr:colOff>590553</xdr:colOff>
      <xdr:row>179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174</xdr:row>
      <xdr:rowOff>104777</xdr:rowOff>
    </xdr:from>
    <xdr:to>
      <xdr:col>5</xdr:col>
      <xdr:colOff>19050</xdr:colOff>
      <xdr:row>181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111</xdr:row>
          <xdr:rowOff>57150</xdr:rowOff>
        </xdr:from>
        <xdr:to>
          <xdr:col>11</xdr:col>
          <xdr:colOff>600075</xdr:colOff>
          <xdr:row>115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139</xdr:row>
          <xdr:rowOff>114300</xdr:rowOff>
        </xdr:from>
        <xdr:to>
          <xdr:col>7</xdr:col>
          <xdr:colOff>285750</xdr:colOff>
          <xdr:row>143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129</xdr:row>
          <xdr:rowOff>19050</xdr:rowOff>
        </xdr:from>
        <xdr:to>
          <xdr:col>7</xdr:col>
          <xdr:colOff>38100</xdr:colOff>
          <xdr:row>130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132</xdr:row>
          <xdr:rowOff>180975</xdr:rowOff>
        </xdr:from>
        <xdr:to>
          <xdr:col>9</xdr:col>
          <xdr:colOff>104775</xdr:colOff>
          <xdr:row>136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120</xdr:row>
          <xdr:rowOff>76200</xdr:rowOff>
        </xdr:from>
        <xdr:to>
          <xdr:col>9</xdr:col>
          <xdr:colOff>352425</xdr:colOff>
          <xdr:row>125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125</xdr:row>
          <xdr:rowOff>85725</xdr:rowOff>
        </xdr:from>
        <xdr:to>
          <xdr:col>8</xdr:col>
          <xdr:colOff>247650</xdr:colOff>
          <xdr:row>128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131</xdr:row>
          <xdr:rowOff>0</xdr:rowOff>
        </xdr:from>
        <xdr:to>
          <xdr:col>6</xdr:col>
          <xdr:colOff>552450</xdr:colOff>
          <xdr:row>132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166</xdr:row>
          <xdr:rowOff>76200</xdr:rowOff>
        </xdr:from>
        <xdr:to>
          <xdr:col>9</xdr:col>
          <xdr:colOff>219075</xdr:colOff>
          <xdr:row>171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171</xdr:row>
          <xdr:rowOff>123825</xdr:rowOff>
        </xdr:from>
        <xdr:to>
          <xdr:col>8</xdr:col>
          <xdr:colOff>66675</xdr:colOff>
          <xdr:row>174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156</xdr:row>
          <xdr:rowOff>171450</xdr:rowOff>
        </xdr:from>
        <xdr:to>
          <xdr:col>9</xdr:col>
          <xdr:colOff>171450</xdr:colOff>
          <xdr:row>161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161</xdr:row>
          <xdr:rowOff>161925</xdr:rowOff>
        </xdr:from>
        <xdr:to>
          <xdr:col>8</xdr:col>
          <xdr:colOff>180975</xdr:colOff>
          <xdr:row>165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176</xdr:row>
          <xdr:rowOff>76200</xdr:rowOff>
        </xdr:from>
        <xdr:to>
          <xdr:col>6</xdr:col>
          <xdr:colOff>485775</xdr:colOff>
          <xdr:row>177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178</xdr:row>
          <xdr:rowOff>66675</xdr:rowOff>
        </xdr:from>
        <xdr:to>
          <xdr:col>6</xdr:col>
          <xdr:colOff>381000</xdr:colOff>
          <xdr:row>179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180</xdr:row>
          <xdr:rowOff>38100</xdr:rowOff>
        </xdr:from>
        <xdr:to>
          <xdr:col>7</xdr:col>
          <xdr:colOff>66675</xdr:colOff>
          <xdr:row>183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132</xdr:row>
      <xdr:rowOff>171450</xdr:rowOff>
    </xdr:from>
    <xdr:to>
      <xdr:col>6</xdr:col>
      <xdr:colOff>472234</xdr:colOff>
      <xdr:row>136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184</xdr:row>
      <xdr:rowOff>76200</xdr:rowOff>
    </xdr:from>
    <xdr:to>
      <xdr:col>6</xdr:col>
      <xdr:colOff>300784</xdr:colOff>
      <xdr:row>187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176</xdr:row>
      <xdr:rowOff>114302</xdr:rowOff>
    </xdr:from>
    <xdr:to>
      <xdr:col>5</xdr:col>
      <xdr:colOff>19050</xdr:colOff>
      <xdr:row>186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100</xdr:row>
      <xdr:rowOff>19050</xdr:rowOff>
    </xdr:from>
    <xdr:to>
      <xdr:col>4</xdr:col>
      <xdr:colOff>514350</xdr:colOff>
      <xdr:row>100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113</xdr:row>
      <xdr:rowOff>47625</xdr:rowOff>
    </xdr:from>
    <xdr:to>
      <xdr:col>4</xdr:col>
      <xdr:colOff>447675</xdr:colOff>
      <xdr:row>114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52</xdr:row>
          <xdr:rowOff>85725</xdr:rowOff>
        </xdr:from>
        <xdr:to>
          <xdr:col>4</xdr:col>
          <xdr:colOff>219075</xdr:colOff>
          <xdr:row>56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52</xdr:row>
          <xdr:rowOff>76200</xdr:rowOff>
        </xdr:from>
        <xdr:to>
          <xdr:col>11</xdr:col>
          <xdr:colOff>581025</xdr:colOff>
          <xdr:row>56</xdr:row>
          <xdr:rowOff>57150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200025</xdr:colOff>
      <xdr:row>58</xdr:row>
      <xdr:rowOff>95250</xdr:rowOff>
    </xdr:from>
    <xdr:to>
      <xdr:col>11</xdr:col>
      <xdr:colOff>17499</xdr:colOff>
      <xdr:row>67</xdr:row>
      <xdr:rowOff>128921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𝑑</m:t>
                        </m:r>
                      </m:sub>
                    </m:sSub>
                    <m:r>
                      <a:rPr lang="en-US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𝐴</m:t>
                    </m:r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𝑜𝑟𝑖𝑓𝑖𝑐𝑒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𝑜𝑟𝑖𝑓𝑖𝑐𝑒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2169C68C-3179-39B6-A743-21ADCE70EE6A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2</xdr:col>
      <xdr:colOff>142875</xdr:colOff>
      <xdr:row>71</xdr:row>
      <xdr:rowOff>47625</xdr:rowOff>
    </xdr:from>
    <xdr:to>
      <xdr:col>8</xdr:col>
      <xdr:colOff>167551</xdr:colOff>
      <xdr:row>79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𝑑</m:t>
                            </m:r>
                          </m:sub>
                        </m:s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num>
                      <m:den>
                        <m:sSub>
                          <m:sSubPr>
                            <m:ctrlPr>
                              <a:rPr lang="en-US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p>
                              <m:sSup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ACBDA987-672B-44D6-97AC-21A609FB17AF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(1+(𝛾−1)/2)^(−(𝛾+1)∕[2(𝛾−1)] )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2</xdr:col>
      <xdr:colOff>209550</xdr:colOff>
      <xdr:row>85</xdr:row>
      <xdr:rowOff>104775</xdr:rowOff>
    </xdr:from>
    <xdr:to>
      <xdr:col>4</xdr:col>
      <xdr:colOff>475999</xdr:colOff>
      <xdr:row>92</xdr:row>
      <xdr:rowOff>161751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3100" y="1634490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102</xdr:row>
      <xdr:rowOff>133350</xdr:rowOff>
    </xdr:from>
    <xdr:to>
      <xdr:col>4</xdr:col>
      <xdr:colOff>342649</xdr:colOff>
      <xdr:row>109</xdr:row>
      <xdr:rowOff>190326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0" y="19611975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3</xdr:row>
      <xdr:rowOff>0</xdr:rowOff>
    </xdr:from>
    <xdr:to>
      <xdr:col>39</xdr:col>
      <xdr:colOff>171450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oleObject" Target="../embeddings/oleObject1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Relationship Id="rId30" Type="http://schemas.openxmlformats.org/officeDocument/2006/relationships/oleObject" Target="../embeddings/oleObject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9"/>
  <sheetViews>
    <sheetView tabSelected="1" workbookViewId="0">
      <selection activeCell="I5" sqref="I5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84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81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82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83</v>
      </c>
      <c r="C14" s="20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64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90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4" t="s">
        <v>38</v>
      </c>
      <c r="C38" s="21">
        <f>Po_1*6.89476</f>
        <v>2757.904</v>
      </c>
      <c r="D38" t="s">
        <v>69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85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22" t="s">
        <v>91</v>
      </c>
      <c r="P44" s="4"/>
    </row>
    <row r="45" spans="2:16" x14ac:dyDescent="0.25">
      <c r="B45" s="3" t="s">
        <v>96</v>
      </c>
      <c r="C45" s="29">
        <v>2</v>
      </c>
      <c r="D45" t="s">
        <v>18</v>
      </c>
      <c r="E45" t="s">
        <v>99</v>
      </c>
      <c r="P45" s="4"/>
    </row>
    <row r="46" spans="2:16" x14ac:dyDescent="0.25">
      <c r="B46" s="24" t="s">
        <v>96</v>
      </c>
      <c r="C46" s="21">
        <f>C45*2.54^2</f>
        <v>12.9032</v>
      </c>
      <c r="D46" t="s">
        <v>65</v>
      </c>
      <c r="P46" s="4"/>
    </row>
    <row r="47" spans="2:16" x14ac:dyDescent="0.25">
      <c r="B47" s="3" t="s">
        <v>96</v>
      </c>
      <c r="C47" s="9">
        <f>C45/144</f>
        <v>1.3888888888888888E-2</v>
      </c>
      <c r="D47" t="s">
        <v>19</v>
      </c>
      <c r="E47" t="s">
        <v>99</v>
      </c>
      <c r="P47" s="4"/>
    </row>
    <row r="48" spans="2:16" x14ac:dyDescent="0.25">
      <c r="B48" s="24" t="s">
        <v>96</v>
      </c>
      <c r="C48" s="28">
        <f>C46/10^4</f>
        <v>1.29032E-3</v>
      </c>
      <c r="D48" t="s">
        <v>66</v>
      </c>
      <c r="P48" s="4"/>
    </row>
    <row r="49" spans="2:16" x14ac:dyDescent="0.25">
      <c r="B49" s="27"/>
      <c r="C49" s="28"/>
      <c r="P49" s="4"/>
    </row>
    <row r="50" spans="2:16" x14ac:dyDescent="0.25">
      <c r="B50" s="27"/>
      <c r="C50" s="28"/>
      <c r="P50" s="4"/>
    </row>
    <row r="51" spans="2:16" x14ac:dyDescent="0.25">
      <c r="B51" s="27" t="s">
        <v>97</v>
      </c>
      <c r="C51" s="28"/>
      <c r="P51" s="4"/>
    </row>
    <row r="52" spans="2:16" x14ac:dyDescent="0.25">
      <c r="B52" s="27" t="s">
        <v>98</v>
      </c>
      <c r="C52" s="28"/>
      <c r="P52" s="4"/>
    </row>
    <row r="53" spans="2:16" x14ac:dyDescent="0.25">
      <c r="B53" s="27"/>
      <c r="C53" s="28"/>
      <c r="P53" s="4"/>
    </row>
    <row r="54" spans="2:16" x14ac:dyDescent="0.25">
      <c r="B54" s="27"/>
      <c r="C54" s="28"/>
      <c r="P54" s="4"/>
    </row>
    <row r="55" spans="2:16" x14ac:dyDescent="0.25">
      <c r="B55" s="27"/>
      <c r="C55" s="28"/>
      <c r="P55" s="4"/>
    </row>
    <row r="56" spans="2:16" x14ac:dyDescent="0.25">
      <c r="B56" s="27"/>
      <c r="C56" s="28"/>
      <c r="P56" s="4"/>
    </row>
    <row r="57" spans="2:16" x14ac:dyDescent="0.25">
      <c r="B57" s="27"/>
      <c r="C57" s="28"/>
      <c r="P57" s="4"/>
    </row>
    <row r="58" spans="2:16" x14ac:dyDescent="0.25">
      <c r="B58" s="27" t="s">
        <v>100</v>
      </c>
      <c r="C58" s="28"/>
      <c r="P58" s="4"/>
    </row>
    <row r="59" spans="2:16" x14ac:dyDescent="0.25">
      <c r="B59" s="27"/>
      <c r="C59" s="28"/>
      <c r="P59" s="4"/>
    </row>
    <row r="60" spans="2:16" x14ac:dyDescent="0.25">
      <c r="B60" s="27"/>
      <c r="C60" s="28"/>
      <c r="P60" s="4"/>
    </row>
    <row r="61" spans="2:16" x14ac:dyDescent="0.25">
      <c r="B61" s="27"/>
      <c r="C61" s="28"/>
      <c r="P61" s="4"/>
    </row>
    <row r="62" spans="2:16" x14ac:dyDescent="0.25">
      <c r="B62" s="27"/>
      <c r="C62" s="28"/>
      <c r="P62" s="4"/>
    </row>
    <row r="63" spans="2:16" x14ac:dyDescent="0.25">
      <c r="B63" s="27"/>
      <c r="C63" s="28"/>
      <c r="P63" s="4"/>
    </row>
    <row r="64" spans="2:16" x14ac:dyDescent="0.25">
      <c r="B64" s="27"/>
      <c r="C64" s="28"/>
      <c r="P64" s="4"/>
    </row>
    <row r="65" spans="2:16" x14ac:dyDescent="0.25">
      <c r="B65" s="27"/>
      <c r="C65" s="28"/>
      <c r="P65" s="4"/>
    </row>
    <row r="66" spans="2:16" x14ac:dyDescent="0.25">
      <c r="B66" s="27"/>
      <c r="P66" s="4"/>
    </row>
    <row r="67" spans="2:16" x14ac:dyDescent="0.25">
      <c r="B67" s="27"/>
      <c r="P67" s="4"/>
    </row>
    <row r="68" spans="2:16" x14ac:dyDescent="0.25">
      <c r="B68" s="27"/>
      <c r="P68" s="4"/>
    </row>
    <row r="69" spans="2:16" x14ac:dyDescent="0.25">
      <c r="B69" s="27" t="s">
        <v>101</v>
      </c>
      <c r="P69" s="4"/>
    </row>
    <row r="70" spans="2:16" ht="15.75" thickBot="1" x14ac:dyDescent="0.3">
      <c r="B70" s="27"/>
      <c r="P70" s="4"/>
    </row>
    <row r="71" spans="2:16" ht="15.75" thickBot="1" x14ac:dyDescent="0.3">
      <c r="B71" s="27"/>
      <c r="C71" s="30" t="s">
        <v>102</v>
      </c>
      <c r="D71" s="31"/>
      <c r="P71" s="4"/>
    </row>
    <row r="72" spans="2:16" x14ac:dyDescent="0.25">
      <c r="B72" s="27"/>
      <c r="P72" s="4"/>
    </row>
    <row r="73" spans="2:16" x14ac:dyDescent="0.25">
      <c r="B73" s="27"/>
      <c r="P73" s="4"/>
    </row>
    <row r="74" spans="2:16" x14ac:dyDescent="0.25">
      <c r="B74" s="27"/>
      <c r="P74" s="4"/>
    </row>
    <row r="75" spans="2:16" x14ac:dyDescent="0.25">
      <c r="B75" s="27"/>
      <c r="P75" s="4"/>
    </row>
    <row r="76" spans="2:16" x14ac:dyDescent="0.25">
      <c r="B76" s="27"/>
      <c r="P76" s="4"/>
    </row>
    <row r="77" spans="2:16" x14ac:dyDescent="0.25">
      <c r="B77" s="27"/>
      <c r="P77" s="4"/>
    </row>
    <row r="78" spans="2:16" x14ac:dyDescent="0.25">
      <c r="B78" s="27"/>
      <c r="P78" s="4"/>
    </row>
    <row r="79" spans="2:16" x14ac:dyDescent="0.25">
      <c r="B79" s="27"/>
      <c r="P79" s="4"/>
    </row>
    <row r="80" spans="2:16" x14ac:dyDescent="0.25">
      <c r="B80" s="27"/>
      <c r="P80" s="4"/>
    </row>
    <row r="81" spans="2:16" x14ac:dyDescent="0.25">
      <c r="B81" s="27"/>
      <c r="P81" s="4"/>
    </row>
    <row r="82" spans="2:16" x14ac:dyDescent="0.25">
      <c r="B82" s="27" t="s">
        <v>103</v>
      </c>
      <c r="C82">
        <f>CdA/A*(1+(Gam-1)/2)^(-(Gam+1)/2/(Gam-1))</f>
        <v>0.16373965338672358</v>
      </c>
      <c r="P82" s="4"/>
    </row>
    <row r="83" spans="2:16" x14ac:dyDescent="0.25">
      <c r="B83" s="3" t="s">
        <v>37</v>
      </c>
      <c r="C83" s="32">
        <v>0.16648136922389201</v>
      </c>
      <c r="D83" s="15" t="s">
        <v>75</v>
      </c>
      <c r="E83" s="15"/>
      <c r="P83" s="4"/>
    </row>
    <row r="84" spans="2:16" x14ac:dyDescent="0.25">
      <c r="B84" s="27" t="s">
        <v>104</v>
      </c>
      <c r="C84">
        <f>M_2*(1+M_2^2*(Gam-1)/2)^(-(Gam+1)/2/(Gam-1))</f>
        <v>0.16374325780510626</v>
      </c>
      <c r="P84" s="4"/>
    </row>
    <row r="85" spans="2:16" x14ac:dyDescent="0.25">
      <c r="B85" s="26" t="s">
        <v>80</v>
      </c>
      <c r="C85" s="10">
        <f>C82-C84</f>
        <v>-3.6044183826799969E-6</v>
      </c>
      <c r="D85" s="25" t="s">
        <v>76</v>
      </c>
      <c r="P85" s="4"/>
    </row>
    <row r="86" spans="2:16" x14ac:dyDescent="0.25">
      <c r="B86" s="27"/>
      <c r="P86" s="4"/>
    </row>
    <row r="87" spans="2:16" x14ac:dyDescent="0.25">
      <c r="B87" s="27"/>
      <c r="P87" s="4"/>
    </row>
    <row r="88" spans="2:16" x14ac:dyDescent="0.25">
      <c r="B88" s="27"/>
      <c r="P88" s="4"/>
    </row>
    <row r="89" spans="2:16" x14ac:dyDescent="0.25">
      <c r="B89" s="27"/>
      <c r="P89" s="4"/>
    </row>
    <row r="90" spans="2:16" x14ac:dyDescent="0.25">
      <c r="B90" s="27"/>
      <c r="P90" s="4"/>
    </row>
    <row r="91" spans="2:16" x14ac:dyDescent="0.25">
      <c r="B91" s="27"/>
      <c r="P91" s="4"/>
    </row>
    <row r="92" spans="2:16" x14ac:dyDescent="0.25">
      <c r="B92" s="27"/>
      <c r="P92" s="4"/>
    </row>
    <row r="93" spans="2:16" x14ac:dyDescent="0.25">
      <c r="B93" s="27"/>
      <c r="P93" s="4"/>
    </row>
    <row r="94" spans="2:16" x14ac:dyDescent="0.25">
      <c r="B94" s="27"/>
      <c r="P94" s="4"/>
    </row>
    <row r="95" spans="2:16" x14ac:dyDescent="0.25">
      <c r="B95" s="27"/>
      <c r="P95" s="4"/>
    </row>
    <row r="96" spans="2:16" x14ac:dyDescent="0.25">
      <c r="B96" s="27" t="s">
        <v>105</v>
      </c>
      <c r="P96" s="4"/>
    </row>
    <row r="97" spans="2:16" x14ac:dyDescent="0.25">
      <c r="B97" s="27"/>
      <c r="P97" s="4"/>
    </row>
    <row r="98" spans="2:16" x14ac:dyDescent="0.25">
      <c r="B98" s="3" t="s">
        <v>36</v>
      </c>
      <c r="C98" s="18">
        <f>f*L/D</f>
        <v>6.8000000000000007</v>
      </c>
      <c r="D98" t="s">
        <v>92</v>
      </c>
      <c r="P98" s="4"/>
    </row>
    <row r="99" spans="2:16" x14ac:dyDescent="0.25">
      <c r="B99" s="3" t="s">
        <v>40</v>
      </c>
      <c r="C99" s="14">
        <v>0.14762323347790815</v>
      </c>
      <c r="D99" s="15" t="s">
        <v>75</v>
      </c>
      <c r="E99" s="15"/>
      <c r="P99" s="4"/>
    </row>
    <row r="100" spans="2:16" x14ac:dyDescent="0.25">
      <c r="B100" s="3"/>
      <c r="P100" s="4"/>
    </row>
    <row r="101" spans="2:16" x14ac:dyDescent="0.25">
      <c r="B101" s="3" t="s">
        <v>36</v>
      </c>
      <c r="C101" s="18">
        <f>1/Gam*(1/M_1^2-1/M_2^2)+(Gam+1)/2/Gam*LN((M_1^2/M_2^2)*(1+M_2^2*(Gam-1)/2)/(1+M_1^2*(Gam-1)/2))</f>
        <v>6.7998571830029491</v>
      </c>
      <c r="P101" s="4"/>
    </row>
    <row r="102" spans="2:16" x14ac:dyDescent="0.25">
      <c r="B102" s="26" t="s">
        <v>80</v>
      </c>
      <c r="C102" s="10">
        <f>C98-C101</f>
        <v>1.4281699705165352E-4</v>
      </c>
      <c r="D102" s="25" t="s">
        <v>76</v>
      </c>
      <c r="P102" s="4"/>
    </row>
    <row r="103" spans="2:16" x14ac:dyDescent="0.25">
      <c r="B103" s="3"/>
      <c r="C103" s="10"/>
      <c r="P103" s="4"/>
    </row>
    <row r="104" spans="2:16" x14ac:dyDescent="0.25">
      <c r="B104" s="3"/>
      <c r="P104" s="4"/>
    </row>
    <row r="105" spans="2:16" x14ac:dyDescent="0.25">
      <c r="B105" s="3"/>
      <c r="P105" s="4"/>
    </row>
    <row r="106" spans="2:16" x14ac:dyDescent="0.25">
      <c r="B106" s="3"/>
      <c r="P106" s="4"/>
    </row>
    <row r="107" spans="2:16" x14ac:dyDescent="0.25">
      <c r="B107" s="3"/>
      <c r="P107" s="4"/>
    </row>
    <row r="108" spans="2:16" x14ac:dyDescent="0.25">
      <c r="B108" s="3"/>
      <c r="P108" s="4"/>
    </row>
    <row r="109" spans="2:16" x14ac:dyDescent="0.25">
      <c r="B109" s="3"/>
      <c r="P109" s="4"/>
    </row>
    <row r="110" spans="2:16" x14ac:dyDescent="0.25">
      <c r="B110" s="3"/>
      <c r="P110" s="4"/>
    </row>
    <row r="111" spans="2:16" x14ac:dyDescent="0.25">
      <c r="B111" s="3"/>
      <c r="P111" s="4"/>
    </row>
    <row r="112" spans="2:16" x14ac:dyDescent="0.25">
      <c r="B112" s="3"/>
      <c r="P112" s="4"/>
    </row>
    <row r="113" spans="2:16" x14ac:dyDescent="0.25">
      <c r="B113" s="3"/>
      <c r="P113" s="4"/>
    </row>
    <row r="114" spans="2:16" x14ac:dyDescent="0.25">
      <c r="B114" s="3"/>
      <c r="P114" s="4"/>
    </row>
    <row r="115" spans="2:16" x14ac:dyDescent="0.25">
      <c r="B115" s="3" t="s">
        <v>20</v>
      </c>
      <c r="C115" s="5">
        <f>(Gam/Z/Rg)^0.5*M_1*(1+M_1^2*(Gam-1)/2)^(-(Gam+1)/2/(Gam-1))</f>
        <v>2.3603314882924411E-2</v>
      </c>
      <c r="D115" s="25" t="s">
        <v>95</v>
      </c>
      <c r="P115" s="4"/>
    </row>
    <row r="116" spans="2:16" x14ac:dyDescent="0.25">
      <c r="B116" s="3"/>
      <c r="P116" s="4"/>
    </row>
    <row r="117" spans="2:16" x14ac:dyDescent="0.25">
      <c r="B117" s="27" t="s">
        <v>9</v>
      </c>
      <c r="C117" s="11">
        <f>(Po_1/To_1^0.5)*gc^0.5*144*A*C115</f>
        <v>14.738542702209223</v>
      </c>
      <c r="D117" t="s">
        <v>11</v>
      </c>
      <c r="E117" t="s">
        <v>10</v>
      </c>
      <c r="I117" s="11"/>
      <c r="P117" s="4"/>
    </row>
    <row r="118" spans="2:16" x14ac:dyDescent="0.25">
      <c r="B118" s="24" t="s">
        <v>9</v>
      </c>
      <c r="C118" s="11">
        <f>mdot*0.45359</f>
        <v>6.6852555842950814</v>
      </c>
      <c r="D118" t="s">
        <v>71</v>
      </c>
      <c r="I118" s="11"/>
      <c r="P118" s="4"/>
    </row>
    <row r="119" spans="2:16" x14ac:dyDescent="0.25">
      <c r="B119" s="26"/>
      <c r="C119" s="5"/>
      <c r="D119" s="25"/>
      <c r="P119" s="4"/>
    </row>
    <row r="120" spans="2:16" x14ac:dyDescent="0.25">
      <c r="B120" s="26"/>
      <c r="C120" s="5"/>
      <c r="D120" s="25"/>
      <c r="P120" s="4"/>
    </row>
    <row r="121" spans="2:16" x14ac:dyDescent="0.25">
      <c r="B121" s="3"/>
      <c r="P121" s="4"/>
    </row>
    <row r="122" spans="2:16" x14ac:dyDescent="0.25">
      <c r="B122" s="3" t="s">
        <v>41</v>
      </c>
      <c r="C122" s="10">
        <f>Po_1/(1+M_1^2*(Gam-1)/2)^(Gam/(Gam-1))</f>
        <v>393.95743156932838</v>
      </c>
      <c r="D122" t="s">
        <v>1</v>
      </c>
      <c r="P122" s="4"/>
    </row>
    <row r="123" spans="2:16" x14ac:dyDescent="0.25">
      <c r="B123" s="24" t="str">
        <f>B122</f>
        <v>P1</v>
      </c>
      <c r="C123" s="21">
        <f>P_1*6.89476</f>
        <v>2716.2419408869423</v>
      </c>
      <c r="D123" t="s">
        <v>69</v>
      </c>
      <c r="P123" s="4"/>
    </row>
    <row r="124" spans="2:16" x14ac:dyDescent="0.25">
      <c r="B124" s="3" t="s">
        <v>42</v>
      </c>
      <c r="C124" s="10">
        <f>To_1/(1+M_1^2*(Gam-1)/2)</f>
        <v>656.80728978724233</v>
      </c>
      <c r="D124" t="s">
        <v>21</v>
      </c>
      <c r="P124" s="4"/>
    </row>
    <row r="125" spans="2:16" x14ac:dyDescent="0.25">
      <c r="B125" s="3" t="s">
        <v>42</v>
      </c>
      <c r="C125" s="10">
        <f>C124-C8</f>
        <v>197.13728978724231</v>
      </c>
      <c r="D125" t="s">
        <v>2</v>
      </c>
      <c r="P125" s="4"/>
    </row>
    <row r="126" spans="2:16" x14ac:dyDescent="0.25">
      <c r="B126" s="24" t="str">
        <f>B125</f>
        <v>T1</v>
      </c>
      <c r="C126" s="21">
        <f>(C125+459.67)/1.8-273.15</f>
        <v>91.742938770690216</v>
      </c>
      <c r="D126" t="s">
        <v>85</v>
      </c>
      <c r="P126" s="4"/>
    </row>
    <row r="127" spans="2:16" x14ac:dyDescent="0.25">
      <c r="B127" s="3" t="s">
        <v>43</v>
      </c>
      <c r="C127" s="10">
        <f>P_1*144/Z/Rg/T_1</f>
        <v>1.6188812037953075</v>
      </c>
      <c r="D127" t="s">
        <v>26</v>
      </c>
      <c r="P127" s="4"/>
    </row>
    <row r="128" spans="2:16" x14ac:dyDescent="0.25">
      <c r="B128" s="24" t="str">
        <f>B127</f>
        <v>rho1</v>
      </c>
      <c r="C128" s="21">
        <f>rho_1*16.01846</f>
        <v>25.931983807746985</v>
      </c>
      <c r="D128" t="s">
        <v>86</v>
      </c>
      <c r="P128" s="4"/>
    </row>
    <row r="129" spans="2:16" x14ac:dyDescent="0.25">
      <c r="B129" s="3" t="s">
        <v>44</v>
      </c>
      <c r="C129" s="11">
        <f>mdot/rho_1/A</f>
        <v>185.46828865491847</v>
      </c>
      <c r="D129" t="s">
        <v>25</v>
      </c>
      <c r="P129" s="4"/>
    </row>
    <row r="130" spans="2:16" x14ac:dyDescent="0.25">
      <c r="B130" s="24" t="str">
        <f>B129</f>
        <v>V1</v>
      </c>
      <c r="C130" s="21">
        <f>V_1/3.28</f>
        <v>56.545209955767831</v>
      </c>
      <c r="D130" t="s">
        <v>87</v>
      </c>
      <c r="P130" s="4"/>
    </row>
    <row r="131" spans="2:16" x14ac:dyDescent="0.25">
      <c r="B131" s="3" t="s">
        <v>77</v>
      </c>
      <c r="C131" s="11">
        <f>V_1/M_1</f>
        <v>1256.3624592511981</v>
      </c>
      <c r="D131" t="s">
        <v>32</v>
      </c>
      <c r="P131" s="4"/>
    </row>
    <row r="132" spans="2:16" x14ac:dyDescent="0.25">
      <c r="B132" s="24" t="str">
        <f>B131</f>
        <v>c1</v>
      </c>
      <c r="C132" s="21">
        <f>c_1/3.28</f>
        <v>383.03733513756043</v>
      </c>
      <c r="D132" t="s">
        <v>88</v>
      </c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 t="s">
        <v>45</v>
      </c>
      <c r="C139" s="10">
        <f>cp*(T_1)</f>
        <v>160.91778599787438</v>
      </c>
      <c r="D139" t="s">
        <v>29</v>
      </c>
      <c r="E139" s="12" t="s">
        <v>89</v>
      </c>
      <c r="P139" s="4"/>
    </row>
    <row r="140" spans="2:16" x14ac:dyDescent="0.25">
      <c r="B140" s="24" t="str">
        <f>B139</f>
        <v>h1</v>
      </c>
      <c r="C140" s="21">
        <f>h_1*2.32442</f>
        <v>374.04052012917913</v>
      </c>
      <c r="D140" t="s">
        <v>70</v>
      </c>
      <c r="E140" s="12"/>
      <c r="P140" s="4"/>
    </row>
    <row r="141" spans="2:16" x14ac:dyDescent="0.25">
      <c r="B141" s="3" t="s">
        <v>46</v>
      </c>
      <c r="C141" s="10">
        <f>h_1+0.5*V_1^2/C10/gc</f>
        <v>161.60474337599794</v>
      </c>
      <c r="D141" t="s">
        <v>29</v>
      </c>
      <c r="P141" s="4"/>
    </row>
    <row r="142" spans="2:16" x14ac:dyDescent="0.25">
      <c r="B142" s="24" t="str">
        <f>B141</f>
        <v>ho1</v>
      </c>
      <c r="C142" s="21">
        <f>ho_1*2.32442</f>
        <v>375.63729759803715</v>
      </c>
      <c r="D142" t="s">
        <v>70</v>
      </c>
      <c r="P142" s="4"/>
    </row>
    <row r="143" spans="2:16" x14ac:dyDescent="0.25">
      <c r="B143" s="3"/>
      <c r="P143" s="4"/>
    </row>
    <row r="144" spans="2:16" ht="15.75" thickBot="1" x14ac:dyDescent="0.3">
      <c r="B144" s="6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8"/>
    </row>
    <row r="146" spans="2:16" ht="15.75" thickBot="1" x14ac:dyDescent="0.3"/>
    <row r="147" spans="2:16" x14ac:dyDescent="0.25">
      <c r="B147" s="13" t="s">
        <v>24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2"/>
    </row>
    <row r="148" spans="2:16" x14ac:dyDescent="0.25">
      <c r="B148" s="3"/>
      <c r="P148" s="4"/>
    </row>
    <row r="149" spans="2:16" x14ac:dyDescent="0.25">
      <c r="B149" s="3"/>
      <c r="P149" s="4"/>
    </row>
    <row r="150" spans="2:16" x14ac:dyDescent="0.25">
      <c r="B150" s="3"/>
      <c r="P150" s="4"/>
    </row>
    <row r="151" spans="2:16" x14ac:dyDescent="0.25">
      <c r="B151" s="3" t="s">
        <v>93</v>
      </c>
      <c r="P151" s="4"/>
    </row>
    <row r="152" spans="2:16" x14ac:dyDescent="0.25">
      <c r="B152" s="3" t="s">
        <v>47</v>
      </c>
      <c r="C152" s="10">
        <f>ho_1</f>
        <v>161.60474337599794</v>
      </c>
      <c r="D152" t="s">
        <v>29</v>
      </c>
      <c r="P152" s="4"/>
    </row>
    <row r="153" spans="2:16" x14ac:dyDescent="0.25">
      <c r="B153" s="24" t="str">
        <f>B152</f>
        <v>ho2</v>
      </c>
      <c r="C153" s="21">
        <f>ho_2*2.32442</f>
        <v>375.63729759803715</v>
      </c>
      <c r="D153" t="s">
        <v>70</v>
      </c>
      <c r="P153" s="4"/>
    </row>
    <row r="154" spans="2:16" x14ac:dyDescent="0.25">
      <c r="B154" s="3"/>
      <c r="P154" s="4"/>
    </row>
    <row r="155" spans="2:16" x14ac:dyDescent="0.25">
      <c r="B155" s="3"/>
      <c r="P155" s="4"/>
    </row>
    <row r="156" spans="2:16" x14ac:dyDescent="0.25">
      <c r="B156" s="3" t="s">
        <v>94</v>
      </c>
      <c r="P156" s="4"/>
    </row>
    <row r="157" spans="2:16" x14ac:dyDescent="0.25">
      <c r="B157" s="3" t="s">
        <v>48</v>
      </c>
      <c r="P157" s="4"/>
    </row>
    <row r="158" spans="2:16" x14ac:dyDescent="0.25">
      <c r="B158" s="3"/>
      <c r="P158" s="4"/>
    </row>
    <row r="159" spans="2:16" x14ac:dyDescent="0.25">
      <c r="B159" s="3" t="s">
        <v>49</v>
      </c>
      <c r="C159" s="11">
        <f>P_1*M_1/M_2*((2+M_1^2*(Gam-1))/(2+M_2^2*(Gam-1)))^0.5</f>
        <v>349.12615714998213</v>
      </c>
      <c r="D159" t="s">
        <v>1</v>
      </c>
      <c r="P159" s="4"/>
    </row>
    <row r="160" spans="2:16" x14ac:dyDescent="0.25">
      <c r="B160" s="24" t="str">
        <f>B159</f>
        <v>P2</v>
      </c>
      <c r="C160" s="21">
        <f>P_2*6.89476</f>
        <v>2407.1410632714105</v>
      </c>
      <c r="D160" t="s">
        <v>69</v>
      </c>
      <c r="P160" s="4"/>
    </row>
    <row r="161" spans="2:16" x14ac:dyDescent="0.25">
      <c r="B161" s="3" t="s">
        <v>50</v>
      </c>
      <c r="C161" s="11">
        <f>T_1*((2+M_1^2*(Gam-1))/(2+M_2^2*(Gam-1)))</f>
        <v>656.03346919884268</v>
      </c>
      <c r="D161" t="s">
        <v>21</v>
      </c>
      <c r="P161" s="4"/>
    </row>
    <row r="162" spans="2:16" x14ac:dyDescent="0.25">
      <c r="B162" s="3" t="s">
        <v>50</v>
      </c>
      <c r="C162" s="11">
        <f>C161-C8</f>
        <v>196.36346919884267</v>
      </c>
      <c r="D162" t="s">
        <v>2</v>
      </c>
      <c r="P162" s="4"/>
    </row>
    <row r="163" spans="2:16" x14ac:dyDescent="0.25">
      <c r="B163" s="24" t="str">
        <f>B162</f>
        <v>T2</v>
      </c>
      <c r="C163" s="21">
        <f>(C162+459.67)/1.8-273.15</f>
        <v>91.313038443801531</v>
      </c>
      <c r="D163" t="s">
        <v>85</v>
      </c>
      <c r="P163" s="4"/>
    </row>
    <row r="164" spans="2:16" x14ac:dyDescent="0.25">
      <c r="B164" s="3" t="s">
        <v>51</v>
      </c>
      <c r="C164" s="11">
        <f>P_2*((1+M_2^2*(Gam-1)/2))^(Gam/(Gam-1))</f>
        <v>355.94669854162419</v>
      </c>
      <c r="D164" t="s">
        <v>1</v>
      </c>
      <c r="L164" t="s">
        <v>106</v>
      </c>
      <c r="M164" s="11">
        <f>Po_2/((1+1^2*(Gam-1)/2))^(Gam/(Gam-1))</f>
        <v>188.04015823759528</v>
      </c>
      <c r="N164" t="str">
        <f>D164</f>
        <v>psia</v>
      </c>
      <c r="P164" s="4"/>
    </row>
    <row r="165" spans="2:16" x14ac:dyDescent="0.25">
      <c r="B165" s="24" t="str">
        <f>B164</f>
        <v>Po2</v>
      </c>
      <c r="C165" s="21">
        <f>Po_2*6.89476</f>
        <v>2454.1670592368487</v>
      </c>
      <c r="D165" t="s">
        <v>69</v>
      </c>
      <c r="M165" s="21">
        <f>M164*6.89476</f>
        <v>1296.4917614102424</v>
      </c>
      <c r="N165" t="str">
        <f t="shared" ref="N165:N173" si="0">D165</f>
        <v>kPa</v>
      </c>
      <c r="P165" s="4"/>
    </row>
    <row r="166" spans="2:16" x14ac:dyDescent="0.25">
      <c r="B166" s="3" t="s">
        <v>52</v>
      </c>
      <c r="C166" s="11">
        <f>T_2*((1+M_2^2*(Gam-1)/2))</f>
        <v>659.67</v>
      </c>
      <c r="D166" t="s">
        <v>21</v>
      </c>
      <c r="L166" t="s">
        <v>107</v>
      </c>
      <c r="M166">
        <f>To_2/((1+1^2*(Gam-1)/2))</f>
        <v>549.72500000000002</v>
      </c>
      <c r="N166" t="str">
        <f t="shared" si="0"/>
        <v>R</v>
      </c>
      <c r="P166" s="4"/>
    </row>
    <row r="167" spans="2:16" x14ac:dyDescent="0.25">
      <c r="B167" s="3" t="s">
        <v>52</v>
      </c>
      <c r="C167" s="11">
        <f>C166-C8</f>
        <v>199.99999999999994</v>
      </c>
      <c r="D167" t="s">
        <v>2</v>
      </c>
      <c r="L167" s="19"/>
      <c r="M167" s="11">
        <f>M166-C8</f>
        <v>90.055000000000007</v>
      </c>
      <c r="N167" t="str">
        <f t="shared" si="0"/>
        <v>F</v>
      </c>
      <c r="P167" s="4"/>
    </row>
    <row r="168" spans="2:16" x14ac:dyDescent="0.25">
      <c r="B168" s="24" t="str">
        <f>B167</f>
        <v>To2</v>
      </c>
      <c r="C168" s="21">
        <f>(C167+459.67)/1.8-273.15</f>
        <v>93.333333333333314</v>
      </c>
      <c r="D168" t="s">
        <v>85</v>
      </c>
      <c r="M168" s="21">
        <f>(M167+459.67)/1.8-273.15</f>
        <v>32.252777777777794</v>
      </c>
      <c r="N168" t="str">
        <f t="shared" si="0"/>
        <v>C</v>
      </c>
      <c r="P168" s="4"/>
    </row>
    <row r="169" spans="2:16" x14ac:dyDescent="0.25">
      <c r="B169" s="3"/>
      <c r="P169" s="4"/>
    </row>
    <row r="170" spans="2:16" x14ac:dyDescent="0.25">
      <c r="B170" s="3" t="s">
        <v>53</v>
      </c>
      <c r="C170" s="9">
        <f>P_2*144/Z/Rg/T_2</f>
        <v>1.4363492076940296</v>
      </c>
      <c r="D170" t="s">
        <v>26</v>
      </c>
      <c r="L170" t="s">
        <v>108</v>
      </c>
      <c r="M170" s="9">
        <f>M164*144/Z/Rg/M166</f>
        <v>0.92322757518752252</v>
      </c>
      <c r="N170" t="str">
        <f t="shared" si="0"/>
        <v>lbm/ft3</v>
      </c>
      <c r="P170" s="4"/>
    </row>
    <row r="171" spans="2:16" x14ac:dyDescent="0.25">
      <c r="B171" s="24" t="str">
        <f>B170</f>
        <v>rho2</v>
      </c>
      <c r="C171" s="21">
        <f>rho_2*16.01846</f>
        <v>23.008102329478508</v>
      </c>
      <c r="D171" t="s">
        <v>86</v>
      </c>
      <c r="M171" s="21">
        <f>M170*16.01846</f>
        <v>14.788683984038324</v>
      </c>
      <c r="N171" t="str">
        <f t="shared" si="0"/>
        <v>kg/m3</v>
      </c>
      <c r="P171" s="4"/>
    </row>
    <row r="172" spans="2:16" x14ac:dyDescent="0.25">
      <c r="B172" s="3" t="s">
        <v>54</v>
      </c>
      <c r="C172" s="11">
        <f>mdot/rho_2/A</f>
        <v>209.0376941729684</v>
      </c>
      <c r="D172" t="s">
        <v>25</v>
      </c>
      <c r="L172" t="s">
        <v>109</v>
      </c>
      <c r="M172" s="11">
        <f>mdot/M170/CdA</f>
        <v>1149.4187382168716</v>
      </c>
      <c r="N172" t="str">
        <f t="shared" si="0"/>
        <v>ft/s</v>
      </c>
      <c r="P172" s="4"/>
    </row>
    <row r="173" spans="2:16" x14ac:dyDescent="0.25">
      <c r="B173" s="24" t="str">
        <f>B172</f>
        <v>V2</v>
      </c>
      <c r="C173" s="21">
        <f>V_2/3.28</f>
        <v>63.731004321026958</v>
      </c>
      <c r="D173" t="s">
        <v>87</v>
      </c>
      <c r="M173" s="21">
        <f>M172/3.28</f>
        <v>350.43254213929015</v>
      </c>
      <c r="N173" t="str">
        <f t="shared" si="0"/>
        <v>m/s</v>
      </c>
      <c r="P173" s="4"/>
    </row>
    <row r="174" spans="2:16" x14ac:dyDescent="0.25">
      <c r="B174" s="3"/>
      <c r="P174" s="4"/>
    </row>
    <row r="175" spans="2:16" x14ac:dyDescent="0.25">
      <c r="B175" s="3" t="s">
        <v>55</v>
      </c>
      <c r="C175" s="17">
        <f>ho_2-0.5*V_2^2/C10/gc</f>
        <v>160.73209421524962</v>
      </c>
      <c r="D175" t="s">
        <v>29</v>
      </c>
      <c r="P175" s="4"/>
    </row>
    <row r="176" spans="2:16" x14ac:dyDescent="0.25">
      <c r="B176" s="24" t="str">
        <f>B175</f>
        <v>h2</v>
      </c>
      <c r="C176" s="21">
        <f>h_2*2.32442</f>
        <v>373.6088944358105</v>
      </c>
      <c r="D176" t="s">
        <v>70</v>
      </c>
      <c r="P176" s="4"/>
    </row>
    <row r="177" spans="2:16" x14ac:dyDescent="0.25">
      <c r="B177" s="3" t="s">
        <v>78</v>
      </c>
      <c r="C177" s="11">
        <f>V_2/M_2</f>
        <v>1255.6221464748085</v>
      </c>
      <c r="D177" t="s">
        <v>25</v>
      </c>
      <c r="P177" s="4"/>
    </row>
    <row r="178" spans="2:16" x14ac:dyDescent="0.25">
      <c r="B178" s="24" t="str">
        <f>B177</f>
        <v>c2</v>
      </c>
      <c r="C178" s="21">
        <f>c_2/3.28</f>
        <v>382.81163002280749</v>
      </c>
      <c r="D178" t="s">
        <v>88</v>
      </c>
      <c r="P178" s="4"/>
    </row>
    <row r="179" spans="2:16" x14ac:dyDescent="0.25">
      <c r="B179" s="3"/>
      <c r="P179" s="4"/>
    </row>
    <row r="180" spans="2:16" x14ac:dyDescent="0.25">
      <c r="B180" s="3"/>
      <c r="P180" s="4"/>
    </row>
    <row r="181" spans="2:16" x14ac:dyDescent="0.25">
      <c r="B181" s="3"/>
      <c r="P181" s="4"/>
    </row>
    <row r="182" spans="2:16" x14ac:dyDescent="0.25">
      <c r="B182" s="3"/>
      <c r="P182" s="4"/>
    </row>
    <row r="183" spans="2:16" x14ac:dyDescent="0.25">
      <c r="B183" s="3"/>
      <c r="P183" s="4"/>
    </row>
    <row r="184" spans="2:16" x14ac:dyDescent="0.25">
      <c r="B184" s="3"/>
      <c r="P184" s="4"/>
    </row>
    <row r="185" spans="2:16" x14ac:dyDescent="0.25">
      <c r="B185" s="3"/>
      <c r="P185" s="4"/>
    </row>
    <row r="186" spans="2:16" x14ac:dyDescent="0.25">
      <c r="B186" s="3"/>
      <c r="P186" s="4"/>
    </row>
    <row r="187" spans="2:16" x14ac:dyDescent="0.25">
      <c r="B187" s="3"/>
      <c r="P187" s="4"/>
    </row>
    <row r="188" spans="2:16" x14ac:dyDescent="0.25">
      <c r="B188" s="3"/>
      <c r="P188" s="4"/>
    </row>
    <row r="189" spans="2:16" ht="15.75" thickBot="1" x14ac:dyDescent="0.3">
      <c r="B189" s="6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115</xdr:row>
                <xdr:rowOff>95250</xdr:rowOff>
              </from>
              <to>
                <xdr:col>8</xdr:col>
                <xdr:colOff>495300</xdr:colOff>
                <xdr:row>119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111</xdr:row>
                <xdr:rowOff>57150</xdr:rowOff>
              </from>
              <to>
                <xdr:col>11</xdr:col>
                <xdr:colOff>600075</xdr:colOff>
                <xdr:row>115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139</xdr:row>
                <xdr:rowOff>114300</xdr:rowOff>
              </from>
              <to>
                <xdr:col>7</xdr:col>
                <xdr:colOff>285750</xdr:colOff>
                <xdr:row>143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129</xdr:row>
                <xdr:rowOff>19050</xdr:rowOff>
              </from>
              <to>
                <xdr:col>7</xdr:col>
                <xdr:colOff>38100</xdr:colOff>
                <xdr:row>130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132</xdr:row>
                <xdr:rowOff>180975</xdr:rowOff>
              </from>
              <to>
                <xdr:col>9</xdr:col>
                <xdr:colOff>104775</xdr:colOff>
                <xdr:row>136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120</xdr:row>
                <xdr:rowOff>76200</xdr:rowOff>
              </from>
              <to>
                <xdr:col>9</xdr:col>
                <xdr:colOff>352425</xdr:colOff>
                <xdr:row>125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125</xdr:row>
                <xdr:rowOff>85725</xdr:rowOff>
              </from>
              <to>
                <xdr:col>8</xdr:col>
                <xdr:colOff>247650</xdr:colOff>
                <xdr:row>128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131</xdr:row>
                <xdr:rowOff>0</xdr:rowOff>
              </from>
              <to>
                <xdr:col>6</xdr:col>
                <xdr:colOff>552450</xdr:colOff>
                <xdr:row>132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166</xdr:row>
                <xdr:rowOff>76200</xdr:rowOff>
              </from>
              <to>
                <xdr:col>9</xdr:col>
                <xdr:colOff>219075</xdr:colOff>
                <xdr:row>171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171</xdr:row>
                <xdr:rowOff>123825</xdr:rowOff>
              </from>
              <to>
                <xdr:col>8</xdr:col>
                <xdr:colOff>66675</xdr:colOff>
                <xdr:row>174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156</xdr:row>
                <xdr:rowOff>171450</xdr:rowOff>
              </from>
              <to>
                <xdr:col>9</xdr:col>
                <xdr:colOff>171450</xdr:colOff>
                <xdr:row>161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161</xdr:row>
                <xdr:rowOff>161925</xdr:rowOff>
              </from>
              <to>
                <xdr:col>8</xdr:col>
                <xdr:colOff>180975</xdr:colOff>
                <xdr:row>165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176</xdr:row>
                <xdr:rowOff>76200</xdr:rowOff>
              </from>
              <to>
                <xdr:col>6</xdr:col>
                <xdr:colOff>485775</xdr:colOff>
                <xdr:row>177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178</xdr:row>
                <xdr:rowOff>66675</xdr:rowOff>
              </from>
              <to>
                <xdr:col>6</xdr:col>
                <xdr:colOff>381000</xdr:colOff>
                <xdr:row>179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180</xdr:row>
                <xdr:rowOff>38100</xdr:rowOff>
              </from>
              <to>
                <xdr:col>7</xdr:col>
                <xdr:colOff>66675</xdr:colOff>
                <xdr:row>183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  <mc:AlternateContent xmlns:mc="http://schemas.openxmlformats.org/markup-compatibility/2006">
      <mc:Choice Requires="x14">
        <oleObject progId="Equation.3" shapeId="1062" r:id="rId29">
          <objectPr defaultSize="0" r:id="rId5">
            <anchor moveWithCells="1" sizeWithCells="1">
              <from>
                <xdr:col>2</xdr:col>
                <xdr:colOff>171450</xdr:colOff>
                <xdr:row>52</xdr:row>
                <xdr:rowOff>85725</xdr:rowOff>
              </from>
              <to>
                <xdr:col>4</xdr:col>
                <xdr:colOff>219075</xdr:colOff>
                <xdr:row>56</xdr:row>
                <xdr:rowOff>9525</xdr:rowOff>
              </to>
            </anchor>
          </objectPr>
        </oleObject>
      </mc:Choice>
      <mc:Fallback>
        <oleObject progId="Equation.3" shapeId="1062" r:id="rId29"/>
      </mc:Fallback>
    </mc:AlternateContent>
    <mc:AlternateContent xmlns:mc="http://schemas.openxmlformats.org/markup-compatibility/2006">
      <mc:Choice Requires="x14">
        <oleObject progId="Equation.3" shapeId="1063" r:id="rId30">
          <objectPr defaultSize="0" r:id="rId7">
            <anchor moveWithCells="1" sizeWithCells="1">
              <from>
                <xdr:col>4</xdr:col>
                <xdr:colOff>428625</xdr:colOff>
                <xdr:row>52</xdr:row>
                <xdr:rowOff>76200</xdr:rowOff>
              </from>
              <to>
                <xdr:col>11</xdr:col>
                <xdr:colOff>581025</xdr:colOff>
                <xdr:row>56</xdr:row>
                <xdr:rowOff>57150</xdr:rowOff>
              </to>
            </anchor>
          </objectPr>
        </oleObject>
      </mc:Choice>
      <mc:Fallback>
        <oleObject progId="Equation.3" shapeId="1063" r:id="rId3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7D05C-56E1-4222-A5B2-286F2A65CFBD}">
  <dimension ref="A1:AG71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RowHeight="15" x14ac:dyDescent="0.25"/>
  <sheetData>
    <row r="1" spans="1:33" x14ac:dyDescent="0.25">
      <c r="D1" s="33" t="s">
        <v>110</v>
      </c>
      <c r="E1" s="33" t="s">
        <v>110</v>
      </c>
      <c r="F1" s="33" t="s">
        <v>111</v>
      </c>
      <c r="G1" s="33" t="s">
        <v>20</v>
      </c>
      <c r="H1" s="33" t="s">
        <v>112</v>
      </c>
      <c r="I1" s="33" t="s">
        <v>112</v>
      </c>
      <c r="J1" s="33" t="s">
        <v>113</v>
      </c>
      <c r="K1" s="33" t="s">
        <v>113</v>
      </c>
      <c r="L1" s="33" t="s">
        <v>68</v>
      </c>
      <c r="M1" s="33" t="s">
        <v>68</v>
      </c>
      <c r="N1" s="33" t="s">
        <v>68</v>
      </c>
      <c r="O1" s="33" t="s">
        <v>68</v>
      </c>
      <c r="P1" s="33" t="s">
        <v>114</v>
      </c>
      <c r="Q1" s="33" t="s">
        <v>114</v>
      </c>
      <c r="R1" s="33" t="s">
        <v>114</v>
      </c>
      <c r="S1" s="33" t="s">
        <v>114</v>
      </c>
      <c r="T1" s="33" t="s">
        <v>115</v>
      </c>
      <c r="U1" s="33" t="s">
        <v>115</v>
      </c>
      <c r="V1" s="33" t="s">
        <v>67</v>
      </c>
      <c r="W1" s="33" t="s">
        <v>67</v>
      </c>
      <c r="X1" s="33" t="s">
        <v>116</v>
      </c>
      <c r="Y1" s="33" t="s">
        <v>116</v>
      </c>
      <c r="AA1" s="34" t="s">
        <v>117</v>
      </c>
      <c r="AB1" s="34" t="s">
        <v>111</v>
      </c>
      <c r="AC1" s="34" t="s">
        <v>118</v>
      </c>
      <c r="AD1" s="34" t="s">
        <v>119</v>
      </c>
      <c r="AE1" s="34" t="s">
        <v>120</v>
      </c>
      <c r="AF1" s="34" t="s">
        <v>121</v>
      </c>
      <c r="AG1" s="34" t="s">
        <v>122</v>
      </c>
    </row>
    <row r="2" spans="1:33" x14ac:dyDescent="0.25">
      <c r="D2" s="33" t="s">
        <v>15</v>
      </c>
      <c r="E2" s="33" t="s">
        <v>58</v>
      </c>
      <c r="F2" s="33"/>
      <c r="G2" s="33" t="s">
        <v>123</v>
      </c>
      <c r="H2" s="33" t="s">
        <v>1</v>
      </c>
      <c r="I2" s="33" t="s">
        <v>69</v>
      </c>
      <c r="J2" s="33" t="s">
        <v>1</v>
      </c>
      <c r="K2" s="33" t="s">
        <v>69</v>
      </c>
      <c r="L2" s="33" t="s">
        <v>21</v>
      </c>
      <c r="M2" s="33" t="s">
        <v>124</v>
      </c>
      <c r="N2" s="33" t="s">
        <v>2</v>
      </c>
      <c r="O2" s="33" t="s">
        <v>85</v>
      </c>
      <c r="P2" s="33" t="s">
        <v>21</v>
      </c>
      <c r="Q2" s="33" t="s">
        <v>124</v>
      </c>
      <c r="R2" s="33" t="s">
        <v>2</v>
      </c>
      <c r="S2" s="33" t="s">
        <v>85</v>
      </c>
      <c r="T2" s="33" t="s">
        <v>125</v>
      </c>
      <c r="U2" s="33" t="s">
        <v>86</v>
      </c>
      <c r="V2" s="33" t="s">
        <v>25</v>
      </c>
      <c r="W2" s="33" t="s">
        <v>87</v>
      </c>
      <c r="X2" s="33" t="s">
        <v>25</v>
      </c>
      <c r="Y2" s="33" t="s">
        <v>87</v>
      </c>
      <c r="AA2" s="34"/>
      <c r="AB2" s="34"/>
      <c r="AC2" s="34"/>
      <c r="AD2" s="34"/>
      <c r="AE2" s="34"/>
      <c r="AF2" s="34"/>
      <c r="AG2" s="34"/>
    </row>
    <row r="3" spans="1:33" x14ac:dyDescent="0.25">
      <c r="D3">
        <v>0</v>
      </c>
      <c r="E3">
        <f t="shared" ref="E3:E12" si="0">D3/3.28</f>
        <v>0</v>
      </c>
      <c r="F3">
        <f>M_1</f>
        <v>0.14762323347790815</v>
      </c>
      <c r="G3">
        <f t="shared" ref="G3:G12" si="1">(Gam/Z/Rg)^0.5*F3*(1+F3^2*(Gam-1)/2)^(-(Gam+1)/2/(Gam-1))</f>
        <v>2.3603314882924411E-2</v>
      </c>
      <c r="H3">
        <f>P_1</f>
        <v>393.95743156932838</v>
      </c>
      <c r="I3" s="21">
        <f t="shared" ref="I3:I12" si="2">H3*6.89476</f>
        <v>2716.2419408869423</v>
      </c>
      <c r="J3">
        <f>Po_1</f>
        <v>400</v>
      </c>
      <c r="K3" s="21">
        <f t="shared" ref="K3:K12" si="3">J3*6.89476</f>
        <v>2757.904</v>
      </c>
      <c r="L3">
        <f>T_1</f>
        <v>656.80728978724233</v>
      </c>
      <c r="M3">
        <f t="shared" ref="M3:M12" si="4">L3/1.8</f>
        <v>364.89293877069019</v>
      </c>
      <c r="N3">
        <f>L3-'Example 7.2 - Pipe P1'!$C$8</f>
        <v>197.13728978724231</v>
      </c>
      <c r="O3">
        <f>M3-'Example 7.2 - Pipe P1'!$C$9</f>
        <v>91.742938770690216</v>
      </c>
      <c r="P3">
        <f>To_1</f>
        <v>659.67000000000007</v>
      </c>
      <c r="Q3">
        <f>P3/1.8</f>
        <v>366.48333333333335</v>
      </c>
      <c r="R3">
        <f>P3-'Example 7.2 - Pipe P1'!$C$8</f>
        <v>200.00000000000006</v>
      </c>
      <c r="S3">
        <f>Q3-'Example 7.2 - Pipe P1'!$C$9</f>
        <v>93.333333333333371</v>
      </c>
      <c r="T3">
        <f>rho_1</f>
        <v>1.6188812037953075</v>
      </c>
      <c r="U3">
        <f t="shared" ref="U3:U12" si="5">T3*16.01846</f>
        <v>25.931983807746985</v>
      </c>
      <c r="V3">
        <f t="shared" ref="V3:V12" si="6">(Gam*H3/T3*gc*144)^0.5</f>
        <v>1256.3624592511985</v>
      </c>
      <c r="W3">
        <f t="shared" ref="W3:W12" si="7">V3/3.28</f>
        <v>383.03733513756055</v>
      </c>
      <c r="X3">
        <f t="shared" ref="X3:X12" si="8">F3*V3</f>
        <v>185.46828865491855</v>
      </c>
      <c r="Y3">
        <f t="shared" ref="Y3:Y12" si="9">X3/3.28</f>
        <v>56.545209955767852</v>
      </c>
      <c r="AA3">
        <f t="shared" ref="AA3:AA34" si="10">D3/$D$70</f>
        <v>0</v>
      </c>
      <c r="AB3">
        <f t="shared" ref="AB3:AB34" si="11">F3</f>
        <v>0.14762323347790815</v>
      </c>
      <c r="AC3">
        <f t="shared" ref="AC3:AC34" si="12">H3/$H$3</f>
        <v>1</v>
      </c>
      <c r="AD3">
        <f t="shared" ref="AD3:AD34" si="13">J3/$J$3</f>
        <v>1</v>
      </c>
      <c r="AE3">
        <f t="shared" ref="AE3:AE34" si="14">L3/$L$3</f>
        <v>1</v>
      </c>
      <c r="AF3">
        <f t="shared" ref="AF3:AF34" si="15">T3/$T$3</f>
        <v>1</v>
      </c>
      <c r="AG3">
        <f t="shared" ref="AG3:AG34" si="16">X3/$X$3</f>
        <v>1</v>
      </c>
    </row>
    <row r="4" spans="1:33" x14ac:dyDescent="0.25">
      <c r="D4">
        <f t="shared" ref="D4:D11" si="17">(1/Gam*(1/M_1^2-1/F4^2)+(Gam+1)/2/Gam*LN((M_1^2/F4^2)*(1+F4^2*(Gam-1)/2)/(1+M_1^2*(Gam-1)/2)))*D/f</f>
        <v>15.498560242387551</v>
      </c>
      <c r="E4">
        <f t="shared" si="0"/>
        <v>4.7251708056059609</v>
      </c>
      <c r="F4">
        <f t="shared" ref="F4:F10" si="18">F3+0.0025</f>
        <v>0.15012323347790815</v>
      </c>
      <c r="G4">
        <f t="shared" si="1"/>
        <v>2.3992366562827206E-2</v>
      </c>
      <c r="H4">
        <f t="shared" ref="H4:H12" si="19">J4/(1+(Gam-1)/2*F4^2)^(Gam/(Gam-1))</f>
        <v>387.36815607210701</v>
      </c>
      <c r="I4" s="21">
        <f t="shared" si="2"/>
        <v>2670.8104677597203</v>
      </c>
      <c r="J4">
        <f t="shared" ref="J4:J11" si="20">mdot*P4^0.5/A/G4/gc^0.5/144</f>
        <v>393.51374231659867</v>
      </c>
      <c r="K4" s="21">
        <f t="shared" si="3"/>
        <v>2713.1828099747918</v>
      </c>
      <c r="L4">
        <f t="shared" ref="L4:L12" si="21">P4/(1+(Gam-1)/2*F4^2)</f>
        <v>656.70994752247645</v>
      </c>
      <c r="M4">
        <f t="shared" si="4"/>
        <v>364.83885973470916</v>
      </c>
      <c r="N4">
        <f>L4-'Example 7.2 - Pipe P1'!$C$8</f>
        <v>197.03994752247644</v>
      </c>
      <c r="O4">
        <f>M4-'Example 7.2 - Pipe P1'!$C$9</f>
        <v>91.688859734709183</v>
      </c>
      <c r="P4">
        <f t="shared" ref="P4:P12" si="22">P3</f>
        <v>659.67000000000007</v>
      </c>
      <c r="Q4">
        <f t="shared" ref="Q4:Q12" si="23">Q3</f>
        <v>366.48333333333335</v>
      </c>
      <c r="R4">
        <f>P4-'Example 7.2 - Pipe P1'!$C$8</f>
        <v>200.00000000000006</v>
      </c>
      <c r="S4">
        <f>Q4-'Example 7.2 - Pipe P1'!$C$9</f>
        <v>93.333333333333371</v>
      </c>
      <c r="T4">
        <f t="shared" ref="T4:T12" si="24">H4/L4/Rg/Z*144</f>
        <v>1.5920399775932534</v>
      </c>
      <c r="U4">
        <f t="shared" si="5"/>
        <v>25.502028699478426</v>
      </c>
      <c r="V4">
        <f t="shared" si="6"/>
        <v>1256.2693560680752</v>
      </c>
      <c r="W4">
        <f t="shared" si="7"/>
        <v>383.0089500207547</v>
      </c>
      <c r="X4">
        <f t="shared" si="8"/>
        <v>188.59521785214898</v>
      </c>
      <c r="Y4">
        <f t="shared" si="9"/>
        <v>57.498542028094207</v>
      </c>
      <c r="AA4">
        <f t="shared" si="10"/>
        <v>0.12397398465502502</v>
      </c>
      <c r="AB4">
        <f t="shared" si="11"/>
        <v>0.15012323347790815</v>
      </c>
      <c r="AC4">
        <f t="shared" si="12"/>
        <v>0.98327414342465125</v>
      </c>
      <c r="AD4">
        <f t="shared" si="13"/>
        <v>0.9837843557914967</v>
      </c>
      <c r="AE4">
        <f t="shared" si="14"/>
        <v>0.99985179478626462</v>
      </c>
      <c r="AF4">
        <f t="shared" si="15"/>
        <v>0.98341989137984465</v>
      </c>
      <c r="AG4">
        <f t="shared" si="16"/>
        <v>1.0168596433379959</v>
      </c>
    </row>
    <row r="5" spans="1:33" x14ac:dyDescent="0.25">
      <c r="D5">
        <f t="shared" si="17"/>
        <v>30.228247977771066</v>
      </c>
      <c r="E5">
        <f t="shared" si="0"/>
        <v>9.2159292615155692</v>
      </c>
      <c r="F5">
        <f t="shared" si="18"/>
        <v>0.15262323347790815</v>
      </c>
      <c r="G5">
        <f t="shared" si="1"/>
        <v>2.4380887269434288E-2</v>
      </c>
      <c r="H5">
        <f t="shared" si="19"/>
        <v>380.9942801960446</v>
      </c>
      <c r="I5" s="21">
        <f t="shared" si="2"/>
        <v>2626.8641233244803</v>
      </c>
      <c r="J5">
        <f t="shared" si="20"/>
        <v>387.24291896489427</v>
      </c>
      <c r="K5" s="21">
        <f t="shared" si="3"/>
        <v>2669.9469879623944</v>
      </c>
      <c r="L5">
        <f t="shared" si="21"/>
        <v>656.61100018716786</v>
      </c>
      <c r="M5">
        <f t="shared" si="4"/>
        <v>364.78388899287103</v>
      </c>
      <c r="N5">
        <f>L5-'Example 7.2 - Pipe P1'!$C$8</f>
        <v>196.94100018716784</v>
      </c>
      <c r="O5">
        <f>M5-'Example 7.2 - Pipe P1'!$C$9</f>
        <v>91.63388899287105</v>
      </c>
      <c r="P5">
        <f t="shared" si="22"/>
        <v>659.67000000000007</v>
      </c>
      <c r="Q5">
        <f t="shared" si="23"/>
        <v>366.48333333333335</v>
      </c>
      <c r="R5">
        <f>P5-'Example 7.2 - Pipe P1'!$C$8</f>
        <v>200.00000000000006</v>
      </c>
      <c r="S5">
        <f>Q5-'Example 7.2 - Pipe P1'!$C$9</f>
        <v>93.333333333333371</v>
      </c>
      <c r="T5">
        <f t="shared" si="24"/>
        <v>1.5660800209430081</v>
      </c>
      <c r="U5">
        <f t="shared" si="5"/>
        <v>25.08619017227474</v>
      </c>
      <c r="V5">
        <f t="shared" si="6"/>
        <v>1256.1747106402765</v>
      </c>
      <c r="W5">
        <f t="shared" si="7"/>
        <v>382.98009470740141</v>
      </c>
      <c r="X5">
        <f t="shared" si="8"/>
        <v>191.72144615109465</v>
      </c>
      <c r="Y5">
        <f t="shared" si="9"/>
        <v>58.451660411919107</v>
      </c>
      <c r="AA5">
        <f t="shared" si="10"/>
        <v>0.24179770845392906</v>
      </c>
      <c r="AB5">
        <f t="shared" si="11"/>
        <v>0.15262323347790815</v>
      </c>
      <c r="AC5">
        <f t="shared" si="12"/>
        <v>0.96709504546812308</v>
      </c>
      <c r="AD5">
        <f t="shared" si="13"/>
        <v>0.96810729741223567</v>
      </c>
      <c r="AE5">
        <f t="shared" si="14"/>
        <v>0.9997011458259879</v>
      </c>
      <c r="AF5">
        <f t="shared" si="15"/>
        <v>0.96738415225989882</v>
      </c>
      <c r="AG5">
        <f t="shared" si="16"/>
        <v>1.0337155076025459</v>
      </c>
    </row>
    <row r="6" spans="1:33" x14ac:dyDescent="0.25">
      <c r="D6">
        <f t="shared" si="17"/>
        <v>44.238448710765859</v>
      </c>
      <c r="E6">
        <f t="shared" si="0"/>
        <v>13.487331924013983</v>
      </c>
      <c r="F6">
        <f t="shared" si="18"/>
        <v>0.15512323347790816</v>
      </c>
      <c r="G6">
        <f t="shared" si="1"/>
        <v>2.4768868704121413E-2</v>
      </c>
      <c r="H6">
        <f t="shared" si="19"/>
        <v>374.82538997262981</v>
      </c>
      <c r="I6" s="21">
        <f t="shared" si="2"/>
        <v>2584.3311057676892</v>
      </c>
      <c r="J6">
        <f t="shared" si="20"/>
        <v>381.17711656321126</v>
      </c>
      <c r="K6" s="21">
        <f t="shared" si="3"/>
        <v>2628.1247361953665</v>
      </c>
      <c r="L6">
        <f t="shared" si="21"/>
        <v>656.51044924527014</v>
      </c>
      <c r="M6">
        <f t="shared" si="4"/>
        <v>364.72802735848342</v>
      </c>
      <c r="N6">
        <f>L6-'Example 7.2 - Pipe P1'!$C$8</f>
        <v>196.84044924527012</v>
      </c>
      <c r="O6">
        <f>M6-'Example 7.2 - Pipe P1'!$C$9</f>
        <v>91.578027358483439</v>
      </c>
      <c r="P6">
        <f t="shared" si="22"/>
        <v>659.67000000000007</v>
      </c>
      <c r="Q6">
        <f t="shared" si="23"/>
        <v>366.48333333333335</v>
      </c>
      <c r="R6">
        <f>P6-'Example 7.2 - Pipe P1'!$C$8</f>
        <v>200.00000000000006</v>
      </c>
      <c r="S6">
        <f>Q6-'Example 7.2 - Pipe P1'!$C$9</f>
        <v>93.333333333333371</v>
      </c>
      <c r="T6">
        <f t="shared" si="24"/>
        <v>1.5409587252139771</v>
      </c>
      <c r="U6">
        <f t="shared" si="5"/>
        <v>24.683785701491086</v>
      </c>
      <c r="V6">
        <f t="shared" si="6"/>
        <v>1256.0785240196444</v>
      </c>
      <c r="W6">
        <f t="shared" si="7"/>
        <v>382.9507695181843</v>
      </c>
      <c r="X6">
        <f t="shared" si="8"/>
        <v>194.84696214808557</v>
      </c>
      <c r="Y6">
        <f t="shared" si="9"/>
        <v>59.404561630513896</v>
      </c>
      <c r="AA6">
        <f t="shared" si="10"/>
        <v>0.35386620923865403</v>
      </c>
      <c r="AB6">
        <f t="shared" si="11"/>
        <v>0.15512323347790816</v>
      </c>
      <c r="AC6">
        <f t="shared" si="12"/>
        <v>0.95143627188225355</v>
      </c>
      <c r="AD6">
        <f t="shared" si="13"/>
        <v>0.95294279140802818</v>
      </c>
      <c r="AE6">
        <f t="shared" si="14"/>
        <v>0.99954805534806357</v>
      </c>
      <c r="AF6">
        <f t="shared" si="15"/>
        <v>0.95186646283949139</v>
      </c>
      <c r="AG6">
        <f t="shared" si="16"/>
        <v>1.0505675313078287</v>
      </c>
    </row>
    <row r="7" spans="1:33" x14ac:dyDescent="0.25">
      <c r="D7">
        <f t="shared" si="17"/>
        <v>57.574655863057828</v>
      </c>
      <c r="E7">
        <f t="shared" si="0"/>
        <v>17.553248738737143</v>
      </c>
      <c r="F7">
        <f t="shared" si="18"/>
        <v>0.15762323347790816</v>
      </c>
      <c r="G7">
        <f t="shared" si="1"/>
        <v>2.5156302594603216E-2</v>
      </c>
      <c r="H7">
        <f t="shared" si="19"/>
        <v>368.85173212566019</v>
      </c>
      <c r="I7" s="21">
        <f t="shared" si="2"/>
        <v>2543.1441685907166</v>
      </c>
      <c r="J7">
        <f t="shared" si="20"/>
        <v>375.30658242261768</v>
      </c>
      <c r="K7" s="21">
        <f t="shared" si="3"/>
        <v>2587.6488122241676</v>
      </c>
      <c r="L7">
        <f t="shared" si="21"/>
        <v>656.40829618378291</v>
      </c>
      <c r="M7">
        <f t="shared" si="4"/>
        <v>364.67127565765719</v>
      </c>
      <c r="N7">
        <f>L7-'Example 7.2 - Pipe P1'!$C$8</f>
        <v>196.73829618378289</v>
      </c>
      <c r="O7">
        <f>M7-'Example 7.2 - Pipe P1'!$C$9</f>
        <v>91.521275657657213</v>
      </c>
      <c r="P7">
        <f t="shared" si="22"/>
        <v>659.67000000000007</v>
      </c>
      <c r="Q7">
        <f t="shared" si="23"/>
        <v>366.48333333333335</v>
      </c>
      <c r="R7">
        <f>P7-'Example 7.2 - Pipe P1'!$C$8</f>
        <v>200.00000000000006</v>
      </c>
      <c r="S7">
        <f>Q7-'Example 7.2 - Pipe P1'!$C$9</f>
        <v>93.333333333333371</v>
      </c>
      <c r="T7">
        <f t="shared" si="24"/>
        <v>1.5166361849635281</v>
      </c>
      <c r="U7">
        <f t="shared" si="5"/>
        <v>24.294176063390879</v>
      </c>
      <c r="V7">
        <f t="shared" si="6"/>
        <v>1255.9807972747146</v>
      </c>
      <c r="W7">
        <f t="shared" si="7"/>
        <v>382.92097477887643</v>
      </c>
      <c r="X7">
        <f t="shared" si="8"/>
        <v>197.97175445260157</v>
      </c>
      <c r="Y7">
        <f t="shared" si="9"/>
        <v>60.357242211159019</v>
      </c>
      <c r="AA7">
        <f t="shared" si="10"/>
        <v>0.46054339182834358</v>
      </c>
      <c r="AB7">
        <f t="shared" si="11"/>
        <v>0.15762323347790816</v>
      </c>
      <c r="AC7">
        <f t="shared" si="12"/>
        <v>0.93627306548410649</v>
      </c>
      <c r="AD7">
        <f t="shared" si="13"/>
        <v>0.93826645605654424</v>
      </c>
      <c r="AE7">
        <f t="shared" si="14"/>
        <v>0.99939252561647318</v>
      </c>
      <c r="AF7">
        <f t="shared" si="15"/>
        <v>0.93684217310567564</v>
      </c>
      <c r="AG7">
        <f t="shared" si="16"/>
        <v>1.0674156530389241</v>
      </c>
    </row>
    <row r="8" spans="1:33" x14ac:dyDescent="0.25">
      <c r="D8">
        <f t="shared" si="17"/>
        <v>70.278832824833017</v>
      </c>
      <c r="E8">
        <f t="shared" si="0"/>
        <v>21.426473422205188</v>
      </c>
      <c r="F8">
        <f t="shared" si="18"/>
        <v>0.16012323347790816</v>
      </c>
      <c r="G8">
        <f t="shared" si="1"/>
        <v>2.5543180695316501E-2</v>
      </c>
      <c r="H8">
        <f t="shared" si="19"/>
        <v>363.06416249436927</v>
      </c>
      <c r="I8" s="21">
        <f t="shared" si="2"/>
        <v>2503.2402649996775</v>
      </c>
      <c r="J8">
        <f t="shared" si="20"/>
        <v>369.62217297005958</v>
      </c>
      <c r="K8" s="21">
        <f t="shared" si="3"/>
        <v>2548.4561733070477</v>
      </c>
      <c r="L8">
        <f t="shared" si="21"/>
        <v>656.3045425126968</v>
      </c>
      <c r="M8">
        <f t="shared" si="4"/>
        <v>364.61363472927599</v>
      </c>
      <c r="N8">
        <f>L8-'Example 7.2 - Pipe P1'!$C$8</f>
        <v>196.63454251269678</v>
      </c>
      <c r="O8">
        <f>M8-'Example 7.2 - Pipe P1'!$C$9</f>
        <v>91.463634729276009</v>
      </c>
      <c r="P8">
        <f t="shared" si="22"/>
        <v>659.67000000000007</v>
      </c>
      <c r="Q8">
        <f t="shared" si="23"/>
        <v>366.48333333333335</v>
      </c>
      <c r="R8">
        <f>P8-'Example 7.2 - Pipe P1'!$C$8</f>
        <v>200.00000000000006</v>
      </c>
      <c r="S8">
        <f>Q8-'Example 7.2 - Pipe P1'!$C$9</f>
        <v>93.333333333333371</v>
      </c>
      <c r="T8">
        <f t="shared" si="24"/>
        <v>1.4930749869129658</v>
      </c>
      <c r="U8">
        <f t="shared" si="5"/>
        <v>23.916761954865869</v>
      </c>
      <c r="V8">
        <f t="shared" si="6"/>
        <v>1255.8815314906847</v>
      </c>
      <c r="W8">
        <f t="shared" si="7"/>
        <v>382.8907108203307</v>
      </c>
      <c r="X8">
        <f t="shared" si="8"/>
        <v>201.09581168747576</v>
      </c>
      <c r="Y8">
        <f t="shared" si="9"/>
        <v>61.30969868520603</v>
      </c>
      <c r="AA8">
        <f t="shared" si="10"/>
        <v>0.56216492409211805</v>
      </c>
      <c r="AB8">
        <f t="shared" si="11"/>
        <v>0.16012323347790816</v>
      </c>
      <c r="AC8">
        <f t="shared" si="12"/>
        <v>0.92158221523605777</v>
      </c>
      <c r="AD8">
        <f t="shared" si="13"/>
        <v>0.92405543242514898</v>
      </c>
      <c r="AE8">
        <f t="shared" si="14"/>
        <v>0.99923455893020252</v>
      </c>
      <c r="AF8">
        <f t="shared" si="15"/>
        <v>0.92228817248146344</v>
      </c>
      <c r="AG8">
        <f t="shared" si="16"/>
        <v>1.0842598114529094</v>
      </c>
    </row>
    <row r="9" spans="1:33" x14ac:dyDescent="0.25">
      <c r="D9">
        <f t="shared" si="17"/>
        <v>82.389736329021872</v>
      </c>
      <c r="E9">
        <f t="shared" si="0"/>
        <v>25.118822051531058</v>
      </c>
      <c r="F9">
        <f t="shared" si="18"/>
        <v>0.16262323347790816</v>
      </c>
      <c r="G9">
        <f t="shared" si="1"/>
        <v>2.5929494787801152E-2</v>
      </c>
      <c r="H9">
        <f t="shared" si="19"/>
        <v>357.45409921389046</v>
      </c>
      <c r="I9" s="21">
        <f t="shared" si="2"/>
        <v>2464.5602250959632</v>
      </c>
      <c r="J9">
        <f t="shared" si="20"/>
        <v>364.1153069288319</v>
      </c>
      <c r="K9" s="21">
        <f t="shared" si="3"/>
        <v>2510.4876536006332</v>
      </c>
      <c r="L9">
        <f t="shared" si="21"/>
        <v>656.19918976493841</v>
      </c>
      <c r="M9">
        <f t="shared" si="4"/>
        <v>364.5551054249658</v>
      </c>
      <c r="N9">
        <f>L9-'Example 7.2 - Pipe P1'!$C$8</f>
        <v>196.52918976493839</v>
      </c>
      <c r="O9">
        <f>M9-'Example 7.2 - Pipe P1'!$C$9</f>
        <v>91.405105424965825</v>
      </c>
      <c r="P9">
        <f t="shared" si="22"/>
        <v>659.67000000000007</v>
      </c>
      <c r="Q9">
        <f t="shared" si="23"/>
        <v>366.48333333333335</v>
      </c>
      <c r="R9">
        <f>P9-'Example 7.2 - Pipe P1'!$C$8</f>
        <v>200.00000000000006</v>
      </c>
      <c r="S9">
        <f>Q9-'Example 7.2 - Pipe P1'!$C$9</f>
        <v>93.333333333333371</v>
      </c>
      <c r="T9">
        <f t="shared" si="24"/>
        <v>1.4702400183878945</v>
      </c>
      <c r="U9">
        <f t="shared" si="5"/>
        <v>23.550980924945755</v>
      </c>
      <c r="V9">
        <f t="shared" si="6"/>
        <v>1255.7807277693796</v>
      </c>
      <c r="W9">
        <f t="shared" si="7"/>
        <v>382.85997797846943</v>
      </c>
      <c r="X9">
        <f t="shared" si="8"/>
        <v>204.21912248909726</v>
      </c>
      <c r="Y9">
        <f t="shared" si="9"/>
        <v>62.261927588139415</v>
      </c>
      <c r="AA9">
        <f t="shared" si="10"/>
        <v>0.65904082364054617</v>
      </c>
      <c r="AB9">
        <f t="shared" si="11"/>
        <v>0.16262323347790816</v>
      </c>
      <c r="AC9">
        <f t="shared" si="12"/>
        <v>0.90734193740164515</v>
      </c>
      <c r="AD9">
        <f t="shared" si="13"/>
        <v>0.91028826732207979</v>
      </c>
      <c r="AE9">
        <f t="shared" si="14"/>
        <v>0.99907415762315777</v>
      </c>
      <c r="AF9">
        <f t="shared" si="15"/>
        <v>0.90818277149741533</v>
      </c>
      <c r="AG9">
        <f t="shared" si="16"/>
        <v>1.1010999452799526</v>
      </c>
    </row>
    <row r="10" spans="1:33" x14ac:dyDescent="0.25">
      <c r="D10">
        <f t="shared" si="17"/>
        <v>93.943205798490609</v>
      </c>
      <c r="E10">
        <f t="shared" si="0"/>
        <v>28.641221280027626</v>
      </c>
      <c r="F10">
        <f t="shared" si="18"/>
        <v>0.16512323347790817</v>
      </c>
      <c r="G10">
        <f t="shared" si="1"/>
        <v>2.6315236681078803E-2</v>
      </c>
      <c r="H10">
        <f t="shared" si="19"/>
        <v>352.01348014886497</v>
      </c>
      <c r="I10" s="21">
        <f t="shared" si="2"/>
        <v>2427.048462391188</v>
      </c>
      <c r="J10">
        <f t="shared" si="20"/>
        <v>358.77792275219292</v>
      </c>
      <c r="K10" s="21">
        <f t="shared" si="3"/>
        <v>2473.6876706749094</v>
      </c>
      <c r="L10">
        <f t="shared" si="21"/>
        <v>656.09223949631382</v>
      </c>
      <c r="M10">
        <f t="shared" si="4"/>
        <v>364.49568860906322</v>
      </c>
      <c r="N10">
        <f>L10-'Example 7.2 - Pipe P1'!$C$8</f>
        <v>196.42223949631381</v>
      </c>
      <c r="O10">
        <f>M10-'Example 7.2 - Pipe P1'!$C$9</f>
        <v>91.345688609063245</v>
      </c>
      <c r="P10">
        <f t="shared" si="22"/>
        <v>659.67000000000007</v>
      </c>
      <c r="Q10">
        <f t="shared" si="23"/>
        <v>366.48333333333335</v>
      </c>
      <c r="R10">
        <f>P10-'Example 7.2 - Pipe P1'!$C$8</f>
        <v>200.00000000000006</v>
      </c>
      <c r="S10">
        <f>Q10-'Example 7.2 - Pipe P1'!$C$9</f>
        <v>93.333333333333371</v>
      </c>
      <c r="T10">
        <f t="shared" si="24"/>
        <v>1.448098293160097</v>
      </c>
      <c r="U10">
        <f t="shared" si="5"/>
        <v>23.196304585053287</v>
      </c>
      <c r="V10">
        <f t="shared" si="6"/>
        <v>1255.6783872292201</v>
      </c>
      <c r="W10">
        <f t="shared" si="7"/>
        <v>382.82877659427447</v>
      </c>
      <c r="X10">
        <f t="shared" si="8"/>
        <v>207.3416755076137</v>
      </c>
      <c r="Y10">
        <f t="shared" si="9"/>
        <v>63.213925459638325</v>
      </c>
      <c r="AA10">
        <f t="shared" si="10"/>
        <v>0.75145777233252142</v>
      </c>
      <c r="AB10">
        <f t="shared" si="11"/>
        <v>0.16512323347790817</v>
      </c>
      <c r="AC10">
        <f t="shared" si="12"/>
        <v>0.89353176749736696</v>
      </c>
      <c r="AD10">
        <f t="shared" si="13"/>
        <v>0.89694480688048228</v>
      </c>
      <c r="AE10">
        <f t="shared" si="14"/>
        <v>0.99891132406407956</v>
      </c>
      <c r="AF10">
        <f t="shared" si="15"/>
        <v>0.894505594212332</v>
      </c>
      <c r="AG10">
        <f t="shared" si="16"/>
        <v>1.1179359933244042</v>
      </c>
    </row>
    <row r="11" spans="1:33" x14ac:dyDescent="0.25">
      <c r="D11">
        <f t="shared" si="17"/>
        <v>99.997899750043359</v>
      </c>
      <c r="E11">
        <f t="shared" si="0"/>
        <v>30.487164557940051</v>
      </c>
      <c r="F11">
        <f>M_2</f>
        <v>0.16648136922389201</v>
      </c>
      <c r="G11">
        <f t="shared" si="1"/>
        <v>2.6524549860562061E-2</v>
      </c>
      <c r="H11">
        <f t="shared" si="19"/>
        <v>349.12615714998213</v>
      </c>
      <c r="I11" s="21">
        <f t="shared" si="2"/>
        <v>2407.1410632714105</v>
      </c>
      <c r="J11">
        <f t="shared" si="20"/>
        <v>355.94669854162419</v>
      </c>
      <c r="K11" s="21">
        <f t="shared" si="3"/>
        <v>2454.1670592368487</v>
      </c>
      <c r="L11">
        <f t="shared" si="21"/>
        <v>656.03346919884279</v>
      </c>
      <c r="M11">
        <f t="shared" si="4"/>
        <v>364.46303844380157</v>
      </c>
      <c r="N11">
        <f>L11-'Example 7.2 - Pipe P1'!$C$8</f>
        <v>196.36346919884278</v>
      </c>
      <c r="O11">
        <f>M11-'Example 7.2 - Pipe P1'!$C$9</f>
        <v>91.313038443801588</v>
      </c>
      <c r="P11">
        <f t="shared" si="22"/>
        <v>659.67000000000007</v>
      </c>
      <c r="Q11">
        <f t="shared" si="23"/>
        <v>366.48333333333335</v>
      </c>
      <c r="R11">
        <f>P11-'Example 7.2 - Pipe P1'!$C$8</f>
        <v>200.00000000000006</v>
      </c>
      <c r="S11">
        <f>Q11-'Example 7.2 - Pipe P1'!$C$9</f>
        <v>93.333333333333371</v>
      </c>
      <c r="T11">
        <f t="shared" si="24"/>
        <v>1.4363492076940292</v>
      </c>
      <c r="U11">
        <f t="shared" si="5"/>
        <v>23.008102329478501</v>
      </c>
      <c r="V11">
        <f t="shared" si="6"/>
        <v>1255.6221464748087</v>
      </c>
      <c r="W11">
        <f t="shared" si="7"/>
        <v>382.81163002280755</v>
      </c>
      <c r="X11">
        <f t="shared" si="8"/>
        <v>209.03769417296843</v>
      </c>
      <c r="Y11">
        <f t="shared" si="9"/>
        <v>63.731004321026965</v>
      </c>
      <c r="AA11">
        <f t="shared" si="10"/>
        <v>0.79988966041124532</v>
      </c>
      <c r="AB11">
        <f t="shared" si="11"/>
        <v>0.16648136922389201</v>
      </c>
      <c r="AC11">
        <f t="shared" si="12"/>
        <v>0.88620274469563631</v>
      </c>
      <c r="AD11">
        <f t="shared" si="13"/>
        <v>0.88986674635406049</v>
      </c>
      <c r="AE11">
        <f t="shared" si="14"/>
        <v>0.99882184531074525</v>
      </c>
      <c r="AF11">
        <f t="shared" si="15"/>
        <v>0.88724806015824387</v>
      </c>
      <c r="AG11">
        <f t="shared" si="16"/>
        <v>1.1270805143509088</v>
      </c>
    </row>
    <row r="12" spans="1:33" x14ac:dyDescent="0.25">
      <c r="A12" s="35">
        <f>2/144</f>
        <v>1.3888888888888888E-2</v>
      </c>
      <c r="B12" s="35"/>
      <c r="C12" s="36" t="s">
        <v>126</v>
      </c>
      <c r="D12" s="35">
        <v>100</v>
      </c>
      <c r="E12" s="35">
        <f t="shared" si="0"/>
        <v>30.487804878048781</v>
      </c>
      <c r="F12" s="35">
        <v>1</v>
      </c>
      <c r="G12" s="35">
        <f t="shared" si="1"/>
        <v>9.3743433770267531E-2</v>
      </c>
      <c r="H12" s="35">
        <f t="shared" si="19"/>
        <v>188.04429758557248</v>
      </c>
      <c r="I12" s="37">
        <f t="shared" si="2"/>
        <v>1296.5203012211016</v>
      </c>
      <c r="J12" s="35">
        <f>mdot*P12^0.5/A12/G12/gc^0.5/144</f>
        <v>355.95453403410841</v>
      </c>
      <c r="K12" s="37">
        <f t="shared" si="3"/>
        <v>2454.2210830770091</v>
      </c>
      <c r="L12" s="35">
        <f t="shared" si="21"/>
        <v>549.72500000000014</v>
      </c>
      <c r="M12" s="35">
        <f t="shared" si="4"/>
        <v>305.40277777777783</v>
      </c>
      <c r="N12" s="35">
        <f>L12-'Example 7.2 - Pipe P1'!$C$8</f>
        <v>90.055000000000121</v>
      </c>
      <c r="O12" s="35">
        <f>M12-'Example 7.2 - Pipe P1'!$C$9</f>
        <v>32.252777777777851</v>
      </c>
      <c r="P12" s="35">
        <f t="shared" si="22"/>
        <v>659.67000000000007</v>
      </c>
      <c r="Q12" s="35">
        <f t="shared" si="23"/>
        <v>366.48333333333335</v>
      </c>
      <c r="R12" s="35">
        <f>P12-'Example 7.2 - Pipe P1'!$C$8</f>
        <v>200.00000000000006</v>
      </c>
      <c r="S12" s="35">
        <f>Q12-'Example 7.2 - Pipe P1'!$C$9</f>
        <v>93.333333333333371</v>
      </c>
      <c r="T12" s="35">
        <f t="shared" si="24"/>
        <v>0.92324789829420151</v>
      </c>
      <c r="U12" s="35">
        <f t="shared" si="5"/>
        <v>14.789009528909736</v>
      </c>
      <c r="V12" s="35">
        <f t="shared" si="6"/>
        <v>1149.3934364970639</v>
      </c>
      <c r="W12" s="35">
        <f t="shared" si="7"/>
        <v>350.42482820032438</v>
      </c>
      <c r="X12" s="35">
        <f t="shared" si="8"/>
        <v>1149.3934364970639</v>
      </c>
      <c r="Y12" s="35">
        <f t="shared" si="9"/>
        <v>350.42482820032438</v>
      </c>
      <c r="Z12" s="35"/>
      <c r="AA12">
        <f t="shared" si="10"/>
        <v>0.79990646044633396</v>
      </c>
      <c r="AB12" s="35">
        <f t="shared" si="11"/>
        <v>1</v>
      </c>
      <c r="AC12" s="35">
        <f t="shared" si="12"/>
        <v>0.47732136143871817</v>
      </c>
      <c r="AD12" s="35">
        <f t="shared" si="13"/>
        <v>0.88988633508527104</v>
      </c>
      <c r="AE12" s="35">
        <f t="shared" si="14"/>
        <v>0.83696543651041233</v>
      </c>
      <c r="AF12" s="35">
        <f t="shared" si="15"/>
        <v>0.5702999677368159</v>
      </c>
      <c r="AG12" s="35">
        <f t="shared" si="16"/>
        <v>6.1972504563064152</v>
      </c>
    </row>
    <row r="13" spans="1:33" x14ac:dyDescent="0.25">
      <c r="C13" s="40" t="s">
        <v>127</v>
      </c>
      <c r="D13" s="38">
        <f>L</f>
        <v>100</v>
      </c>
      <c r="E13" s="38">
        <v>0</v>
      </c>
      <c r="F13" s="38">
        <v>0.43927482794292305</v>
      </c>
      <c r="G13" s="38">
        <v>6.3516330246209479E-2</v>
      </c>
      <c r="H13" s="38">
        <v>130.19355710627519</v>
      </c>
      <c r="I13" s="39">
        <v>897.65332979406196</v>
      </c>
      <c r="J13" s="38">
        <v>148.64407179338261</v>
      </c>
      <c r="K13" s="39">
        <v>1024.8652004381427</v>
      </c>
      <c r="L13" s="38">
        <v>635.15769269178725</v>
      </c>
      <c r="M13" s="38">
        <v>352.86538482877069</v>
      </c>
      <c r="N13" s="38">
        <v>175.48769269178723</v>
      </c>
      <c r="O13" s="38">
        <v>79.715384828770709</v>
      </c>
      <c r="P13" s="38">
        <v>659.67000000000007</v>
      </c>
      <c r="Q13" s="38">
        <v>366.48333333333335</v>
      </c>
      <c r="R13" s="38">
        <v>200.00000000000006</v>
      </c>
      <c r="S13" s="38">
        <v>93.333333333333371</v>
      </c>
      <c r="T13" s="38">
        <v>0.55323745906102084</v>
      </c>
      <c r="U13" s="38">
        <v>8.8620121084705996</v>
      </c>
      <c r="V13" s="38">
        <v>1235.4829318932782</v>
      </c>
      <c r="W13" s="38">
        <v>376.671625577219</v>
      </c>
      <c r="X13" s="38">
        <v>542.71655233383785</v>
      </c>
      <c r="Y13" s="38">
        <v>165.462363516414</v>
      </c>
      <c r="AA13">
        <f t="shared" si="10"/>
        <v>0.79990646044633396</v>
      </c>
      <c r="AB13">
        <f t="shared" si="11"/>
        <v>0.43927482794292305</v>
      </c>
      <c r="AC13">
        <f t="shared" si="12"/>
        <v>0.33047620548151485</v>
      </c>
      <c r="AD13">
        <f t="shared" si="13"/>
        <v>0.37161017948345654</v>
      </c>
      <c r="AE13">
        <f t="shared" si="14"/>
        <v>0.96703812909496178</v>
      </c>
      <c r="AF13">
        <f t="shared" si="15"/>
        <v>0.34174061553374646</v>
      </c>
      <c r="AG13">
        <f t="shared" si="16"/>
        <v>2.9261959350022031</v>
      </c>
    </row>
    <row r="14" spans="1:33" x14ac:dyDescent="0.25">
      <c r="C14" s="40" t="s">
        <v>127</v>
      </c>
      <c r="D14">
        <f t="shared" ref="D14:D45" si="25">(1/Gam*(1/M_3^2-1/F14^2)+(Gam+1)/2/Gam*LN((M_3^2/F14^2)*(1+F14^2*(Gam-1)/2)/(1+M_3^2*(Gam-1)/2)))*D/f+L</f>
        <v>101.85041950395529</v>
      </c>
      <c r="E14">
        <f t="shared" ref="E14:E45" si="26">D14/3.28</f>
        <v>31.05195716584003</v>
      </c>
      <c r="F14">
        <f t="shared" ref="F14:F45" si="27">F13+0.01</f>
        <v>0.44927482794292306</v>
      </c>
      <c r="G14">
        <f t="shared" ref="G14:G45" si="28">(Gam/Z/Rg)^0.5*F14*(1+F14^2*(Gam-1)/2)^(-(Gam+1)/2/(Gam-1))</f>
        <v>6.4629940195978203E-2</v>
      </c>
      <c r="H14">
        <f t="shared" ref="H14:H45" si="29">J14/(1+(Gam-1)/2*F14^2)^(Gam/(Gam-1))</f>
        <v>127.18693101453869</v>
      </c>
      <c r="I14" s="21">
        <f t="shared" ref="I14:I45" si="30">H14*6.89476</f>
        <v>876.92336448180072</v>
      </c>
      <c r="J14">
        <f t="shared" ref="J14:J45" si="31">mdot*P14^0.5/A/G14/gc^0.5/144</f>
        <v>146.08285145461545</v>
      </c>
      <c r="K14" s="21">
        <f t="shared" ref="K14:K45" si="32">J14*6.89476</f>
        <v>1007.2062008952244</v>
      </c>
      <c r="L14">
        <f t="shared" ref="L14:L45" si="33">P14/(1+(Gam-1)/2*F14^2)</f>
        <v>634.07275294870419</v>
      </c>
      <c r="M14">
        <f t="shared" ref="M14:M45" si="34">L14/1.8</f>
        <v>352.2626405270579</v>
      </c>
      <c r="N14">
        <f>L14-'Example 7.2 - Pipe P1'!$C$8</f>
        <v>174.40275294870418</v>
      </c>
      <c r="O14">
        <f>M14-'Example 7.2 - Pipe P1'!$C$9</f>
        <v>79.11264052705792</v>
      </c>
      <c r="P14">
        <f t="shared" ref="P14:P45" si="35">P13</f>
        <v>659.67000000000007</v>
      </c>
      <c r="Q14">
        <f t="shared" ref="Q14:Q45" si="36">Q13</f>
        <v>366.48333333333335</v>
      </c>
      <c r="R14">
        <f>P14-'Example 7.2 - Pipe P1'!$C$8</f>
        <v>200.00000000000006</v>
      </c>
      <c r="S14">
        <f>Q14-'Example 7.2 - Pipe P1'!$C$9</f>
        <v>93.333333333333371</v>
      </c>
      <c r="T14">
        <f t="shared" ref="T14:T45" si="37">H14/L14/Rg/Z*144</f>
        <v>0.54138602917797041</v>
      </c>
      <c r="U14">
        <f t="shared" ref="U14:U45" si="38">T14*16.01846</f>
        <v>8.672170452946153</v>
      </c>
      <c r="V14">
        <f t="shared" ref="V14:V45" si="39">(Gam*H14/T14*gc*144)^0.5</f>
        <v>1234.4272905552962</v>
      </c>
      <c r="W14">
        <f t="shared" ref="W14:W45" si="40">V14/3.28</f>
        <v>376.349783705883</v>
      </c>
      <c r="X14">
        <f t="shared" ref="X14:X45" si="41">F14*V14</f>
        <v>554.59710857227935</v>
      </c>
      <c r="Y14">
        <f t="shared" ref="Y14:Y45" si="42">X14/3.28</f>
        <v>169.0844843208169</v>
      </c>
      <c r="AA14">
        <f t="shared" si="10"/>
        <v>0.81470808560383134</v>
      </c>
      <c r="AB14">
        <f t="shared" si="11"/>
        <v>0.44927482794292306</v>
      </c>
      <c r="AC14">
        <f t="shared" si="12"/>
        <v>0.32284435023319624</v>
      </c>
      <c r="AD14">
        <f t="shared" si="13"/>
        <v>0.36520712863653865</v>
      </c>
      <c r="AE14">
        <f t="shared" si="14"/>
        <v>0.96538629032892975</v>
      </c>
      <c r="AF14">
        <f t="shared" si="15"/>
        <v>0.33441986225347742</v>
      </c>
      <c r="AG14">
        <f t="shared" si="16"/>
        <v>2.9902530108754073</v>
      </c>
    </row>
    <row r="15" spans="1:33" x14ac:dyDescent="0.25">
      <c r="C15" s="40" t="s">
        <v>127</v>
      </c>
      <c r="D15">
        <f t="shared" si="25"/>
        <v>103.55895962979002</v>
      </c>
      <c r="E15">
        <f t="shared" si="26"/>
        <v>31.572853545667691</v>
      </c>
      <c r="F15">
        <f t="shared" si="27"/>
        <v>0.45927482794292307</v>
      </c>
      <c r="G15">
        <f t="shared" si="28"/>
        <v>6.5723501379520072E-2</v>
      </c>
      <c r="H15">
        <f t="shared" si="29"/>
        <v>124.30912085360384</v>
      </c>
      <c r="I15" s="21">
        <f t="shared" si="30"/>
        <v>857.08155409659366</v>
      </c>
      <c r="J15">
        <f t="shared" si="31"/>
        <v>143.65220590806427</v>
      </c>
      <c r="K15" s="21">
        <f t="shared" si="32"/>
        <v>990.44748320668521</v>
      </c>
      <c r="L15">
        <f t="shared" si="33"/>
        <v>632.96721860224329</v>
      </c>
      <c r="M15">
        <f t="shared" si="34"/>
        <v>351.64845477902406</v>
      </c>
      <c r="N15">
        <f>L15-'Example 7.2 - Pipe P1'!$C$8</f>
        <v>173.29721860224328</v>
      </c>
      <c r="O15">
        <f>M15-'Example 7.2 - Pipe P1'!$C$9</f>
        <v>78.498454779024087</v>
      </c>
      <c r="P15">
        <f t="shared" si="35"/>
        <v>659.67000000000007</v>
      </c>
      <c r="Q15">
        <f t="shared" si="36"/>
        <v>366.48333333333335</v>
      </c>
      <c r="R15">
        <f>P15-'Example 7.2 - Pipe P1'!$C$8</f>
        <v>200.00000000000006</v>
      </c>
      <c r="S15">
        <f>Q15-'Example 7.2 - Pipe P1'!$C$9</f>
        <v>93.333333333333371</v>
      </c>
      <c r="T15">
        <f t="shared" si="37"/>
        <v>0.53006047832744929</v>
      </c>
      <c r="U15">
        <f t="shared" si="38"/>
        <v>8.4907525696691142</v>
      </c>
      <c r="V15">
        <f t="shared" si="39"/>
        <v>1233.3506813370077</v>
      </c>
      <c r="W15">
        <f t="shared" si="40"/>
        <v>376.02154918811215</v>
      </c>
      <c r="X15">
        <f t="shared" si="41"/>
        <v>566.44692196434119</v>
      </c>
      <c r="Y15">
        <f t="shared" si="42"/>
        <v>172.69723230620158</v>
      </c>
      <c r="AA15">
        <f t="shared" si="10"/>
        <v>0.82837480844970135</v>
      </c>
      <c r="AB15">
        <f t="shared" si="11"/>
        <v>0.45927482794292307</v>
      </c>
      <c r="AC15">
        <f t="shared" si="12"/>
        <v>0.31553947429908552</v>
      </c>
      <c r="AD15">
        <f t="shared" si="13"/>
        <v>0.35913051477016067</v>
      </c>
      <c r="AE15">
        <f t="shared" si="14"/>
        <v>0.96370309593743775</v>
      </c>
      <c r="AF15">
        <f t="shared" si="15"/>
        <v>0.32742395000002145</v>
      </c>
      <c r="AG15">
        <f t="shared" si="16"/>
        <v>3.0541443287821011</v>
      </c>
    </row>
    <row r="16" spans="1:33" x14ac:dyDescent="0.25">
      <c r="C16" s="40" t="s">
        <v>127</v>
      </c>
      <c r="D16">
        <f t="shared" si="25"/>
        <v>105.13813456140295</v>
      </c>
      <c r="E16">
        <f t="shared" si="26"/>
        <v>32.054309317500902</v>
      </c>
      <c r="F16">
        <f t="shared" si="27"/>
        <v>0.46927482794292308</v>
      </c>
      <c r="G16">
        <f t="shared" si="28"/>
        <v>6.6796811554813901E-2</v>
      </c>
      <c r="H16">
        <f t="shared" si="29"/>
        <v>121.55190876861445</v>
      </c>
      <c r="I16" s="21">
        <f t="shared" si="30"/>
        <v>838.07123850149219</v>
      </c>
      <c r="J16">
        <f t="shared" si="31"/>
        <v>141.34396138687174</v>
      </c>
      <c r="K16" s="21">
        <f t="shared" si="32"/>
        <v>974.53269121174776</v>
      </c>
      <c r="L16">
        <f t="shared" si="33"/>
        <v>631.84132425122766</v>
      </c>
      <c r="M16">
        <f t="shared" si="34"/>
        <v>351.02295791734872</v>
      </c>
      <c r="N16">
        <f>L16-'Example 7.2 - Pipe P1'!$C$8</f>
        <v>172.17132425122765</v>
      </c>
      <c r="O16">
        <f>M16-'Example 7.2 - Pipe P1'!$C$9</f>
        <v>77.872957917348742</v>
      </c>
      <c r="P16">
        <f t="shared" si="35"/>
        <v>659.67000000000007</v>
      </c>
      <c r="Q16">
        <f t="shared" si="36"/>
        <v>366.48333333333335</v>
      </c>
      <c r="R16">
        <f>P16-'Example 7.2 - Pipe P1'!$C$8</f>
        <v>200.00000000000006</v>
      </c>
      <c r="S16">
        <f>Q16-'Example 7.2 - Pipe P1'!$C$9</f>
        <v>93.333333333333371</v>
      </c>
      <c r="T16">
        <f t="shared" si="37"/>
        <v>0.51922716285547377</v>
      </c>
      <c r="U16">
        <f t="shared" si="38"/>
        <v>8.3172195391138928</v>
      </c>
      <c r="V16">
        <f t="shared" si="39"/>
        <v>1232.2532780441045</v>
      </c>
      <c r="W16">
        <f t="shared" si="40"/>
        <v>375.6869750134465</v>
      </c>
      <c r="X16">
        <f t="shared" si="41"/>
        <v>578.26544503625007</v>
      </c>
      <c r="Y16">
        <f t="shared" si="42"/>
        <v>176.30044055983234</v>
      </c>
      <c r="AA16">
        <f t="shared" si="10"/>
        <v>0.84100673074942212</v>
      </c>
      <c r="AB16">
        <f t="shared" si="11"/>
        <v>0.46927482794292308</v>
      </c>
      <c r="AC16">
        <f t="shared" si="12"/>
        <v>0.30854071792582449</v>
      </c>
      <c r="AD16">
        <f t="shared" si="13"/>
        <v>0.35335990346717933</v>
      </c>
      <c r="AE16">
        <f t="shared" si="14"/>
        <v>0.96198890310108798</v>
      </c>
      <c r="AF16">
        <f t="shared" si="15"/>
        <v>0.32073209673334696</v>
      </c>
      <c r="AG16">
        <f t="shared" si="16"/>
        <v>3.1178669368765681</v>
      </c>
    </row>
    <row r="17" spans="3:33" x14ac:dyDescent="0.25">
      <c r="C17" s="40" t="s">
        <v>127</v>
      </c>
      <c r="D17">
        <f t="shared" si="25"/>
        <v>106.59914492575665</v>
      </c>
      <c r="E17">
        <f t="shared" si="26"/>
        <v>32.499739306633124</v>
      </c>
      <c r="F17">
        <f t="shared" si="27"/>
        <v>0.47927482794292309</v>
      </c>
      <c r="G17">
        <f t="shared" si="28"/>
        <v>6.7849681430199621E-2</v>
      </c>
      <c r="H17">
        <f t="shared" si="29"/>
        <v>118.90776300467083</v>
      </c>
      <c r="I17" s="21">
        <f t="shared" si="30"/>
        <v>819.84048805408418</v>
      </c>
      <c r="J17">
        <f t="shared" si="31"/>
        <v>139.15063054323298</v>
      </c>
      <c r="K17" s="21">
        <f t="shared" si="32"/>
        <v>959.41020144426102</v>
      </c>
      <c r="L17">
        <f t="shared" si="33"/>
        <v>630.69530751805087</v>
      </c>
      <c r="M17">
        <f t="shared" si="34"/>
        <v>350.38628195447268</v>
      </c>
      <c r="N17">
        <f>L17-'Example 7.2 - Pipe P1'!$C$8</f>
        <v>171.02530751805085</v>
      </c>
      <c r="O17">
        <f>M17-'Example 7.2 - Pipe P1'!$C$9</f>
        <v>77.236281954472702</v>
      </c>
      <c r="P17">
        <f t="shared" si="35"/>
        <v>659.67000000000007</v>
      </c>
      <c r="Q17">
        <f t="shared" si="36"/>
        <v>366.48333333333335</v>
      </c>
      <c r="R17">
        <f>P17-'Example 7.2 - Pipe P1'!$C$8</f>
        <v>200.00000000000006</v>
      </c>
      <c r="S17">
        <f>Q17-'Example 7.2 - Pipe P1'!$C$9</f>
        <v>93.333333333333371</v>
      </c>
      <c r="T17">
        <f t="shared" si="37"/>
        <v>0.50885524655849512</v>
      </c>
      <c r="U17">
        <f t="shared" si="38"/>
        <v>8.1510774127873926</v>
      </c>
      <c r="V17">
        <f t="shared" si="39"/>
        <v>1231.13525699349</v>
      </c>
      <c r="W17">
        <f t="shared" si="40"/>
        <v>375.34611493703966</v>
      </c>
      <c r="X17">
        <f t="shared" si="41"/>
        <v>590.0521384700213</v>
      </c>
      <c r="Y17">
        <f t="shared" si="42"/>
        <v>179.89394465549432</v>
      </c>
      <c r="AA17">
        <f t="shared" si="10"/>
        <v>0.85269344704167782</v>
      </c>
      <c r="AB17">
        <f t="shared" si="11"/>
        <v>0.47927482794292309</v>
      </c>
      <c r="AC17">
        <f t="shared" si="12"/>
        <v>0.30182896291866373</v>
      </c>
      <c r="AD17">
        <f t="shared" si="13"/>
        <v>0.34787657635808245</v>
      </c>
      <c r="AE17">
        <f t="shared" si="14"/>
        <v>0.96024407360391839</v>
      </c>
      <c r="AF17">
        <f t="shared" si="15"/>
        <v>0.3143252546051768</v>
      </c>
      <c r="AG17">
        <f t="shared" si="16"/>
        <v>3.1814179272871255</v>
      </c>
    </row>
    <row r="18" spans="3:33" x14ac:dyDescent="0.25">
      <c r="C18" s="40" t="s">
        <v>127</v>
      </c>
      <c r="D18">
        <f t="shared" si="25"/>
        <v>107.95203852042317</v>
      </c>
      <c r="E18">
        <f t="shared" si="26"/>
        <v>32.912206865982675</v>
      </c>
      <c r="F18">
        <f t="shared" si="27"/>
        <v>0.4892748279429231</v>
      </c>
      <c r="G18">
        <f t="shared" si="28"/>
        <v>6.8881934648259466E-2</v>
      </c>
      <c r="H18">
        <f t="shared" si="29"/>
        <v>116.36976778587366</v>
      </c>
      <c r="I18" s="21">
        <f t="shared" si="30"/>
        <v>802.3416201393303</v>
      </c>
      <c r="J18">
        <f t="shared" si="31"/>
        <v>137.06534233367864</v>
      </c>
      <c r="K18" s="21">
        <f t="shared" si="32"/>
        <v>945.03263970855414</v>
      </c>
      <c r="L18">
        <f t="shared" si="33"/>
        <v>629.52940893117784</v>
      </c>
      <c r="M18">
        <f t="shared" si="34"/>
        <v>349.73856051732099</v>
      </c>
      <c r="N18">
        <f>L18-'Example 7.2 - Pipe P1'!$C$8</f>
        <v>169.85940893117782</v>
      </c>
      <c r="O18">
        <f>M18-'Example 7.2 - Pipe P1'!$C$9</f>
        <v>76.588560517321014</v>
      </c>
      <c r="P18">
        <f t="shared" si="35"/>
        <v>659.67000000000007</v>
      </c>
      <c r="Q18">
        <f t="shared" si="36"/>
        <v>366.48333333333335</v>
      </c>
      <c r="R18">
        <f>P18-'Example 7.2 - Pipe P1'!$C$8</f>
        <v>200.00000000000006</v>
      </c>
      <c r="S18">
        <f>Q18-'Example 7.2 - Pipe P1'!$C$9</f>
        <v>93.333333333333371</v>
      </c>
      <c r="T18">
        <f t="shared" si="37"/>
        <v>0.49891641379062207</v>
      </c>
      <c r="U18">
        <f t="shared" si="38"/>
        <v>7.9918726176485286</v>
      </c>
      <c r="V18">
        <f t="shared" si="39"/>
        <v>1229.9967969393726</v>
      </c>
      <c r="W18">
        <f t="shared" si="40"/>
        <v>374.99902345712582</v>
      </c>
      <c r="X18">
        <f t="shared" si="41"/>
        <v>601.80647119285811</v>
      </c>
      <c r="Y18">
        <f t="shared" si="42"/>
        <v>183.47758268074944</v>
      </c>
      <c r="AA18">
        <f t="shared" si="10"/>
        <v>0.86351533030838001</v>
      </c>
      <c r="AB18">
        <f t="shared" si="11"/>
        <v>0.4892748279429231</v>
      </c>
      <c r="AC18">
        <f t="shared" si="12"/>
        <v>0.29538665465026259</v>
      </c>
      <c r="AD18">
        <f t="shared" si="13"/>
        <v>0.3426633558341966</v>
      </c>
      <c r="AE18">
        <f t="shared" si="14"/>
        <v>0.958468973654509</v>
      </c>
      <c r="AF18">
        <f t="shared" si="15"/>
        <v>0.30818593274229245</v>
      </c>
      <c r="AG18">
        <f t="shared" si="16"/>
        <v>3.2447944365981427</v>
      </c>
    </row>
    <row r="19" spans="3:33" x14ac:dyDescent="0.25">
      <c r="C19" s="40" t="s">
        <v>127</v>
      </c>
      <c r="D19">
        <f t="shared" si="25"/>
        <v>109.20584863068814</v>
      </c>
      <c r="E19">
        <f t="shared" si="26"/>
        <v>33.294466045941505</v>
      </c>
      <c r="F19">
        <f t="shared" si="27"/>
        <v>0.49927482794292311</v>
      </c>
      <c r="G19">
        <f t="shared" si="28"/>
        <v>6.9893407756648582E-2</v>
      </c>
      <c r="H19">
        <f t="shared" si="29"/>
        <v>113.93156162106365</v>
      </c>
      <c r="I19" s="21">
        <f t="shared" si="30"/>
        <v>785.53077380244474</v>
      </c>
      <c r="J19">
        <f t="shared" si="31"/>
        <v>135.08178033101643</v>
      </c>
      <c r="K19" s="21">
        <f t="shared" si="32"/>
        <v>931.35645575507885</v>
      </c>
      <c r="L19">
        <f t="shared" si="33"/>
        <v>628.34387180724639</v>
      </c>
      <c r="M19">
        <f t="shared" si="34"/>
        <v>349.07992878180352</v>
      </c>
      <c r="N19">
        <f>L19-'Example 7.2 - Pipe P1'!$C$8</f>
        <v>168.67387180724637</v>
      </c>
      <c r="O19">
        <f>M19-'Example 7.2 - Pipe P1'!$C$9</f>
        <v>75.92992878180354</v>
      </c>
      <c r="P19">
        <f t="shared" si="35"/>
        <v>659.67000000000007</v>
      </c>
      <c r="Q19">
        <f t="shared" si="36"/>
        <v>366.48333333333335</v>
      </c>
      <c r="R19">
        <f>P19-'Example 7.2 - Pipe P1'!$C$8</f>
        <v>200.00000000000006</v>
      </c>
      <c r="S19">
        <f>Q19-'Example 7.2 - Pipe P1'!$C$9</f>
        <v>93.333333333333371</v>
      </c>
      <c r="T19">
        <f t="shared" si="37"/>
        <v>0.48938461704804315</v>
      </c>
      <c r="U19">
        <f t="shared" si="38"/>
        <v>7.8391879127993978</v>
      </c>
      <c r="V19">
        <f t="shared" si="39"/>
        <v>1228.8380789989278</v>
      </c>
      <c r="W19">
        <f t="shared" si="40"/>
        <v>374.64575579235606</v>
      </c>
      <c r="X19">
        <f t="shared" si="41"/>
        <v>613.52792046190189</v>
      </c>
      <c r="Y19">
        <f t="shared" si="42"/>
        <v>187.05119526277497</v>
      </c>
      <c r="AA19">
        <f t="shared" si="10"/>
        <v>0.87354463838211871</v>
      </c>
      <c r="AB19">
        <f t="shared" si="11"/>
        <v>0.49927482794292311</v>
      </c>
      <c r="AC19">
        <f t="shared" si="12"/>
        <v>0.28919764545935223</v>
      </c>
      <c r="AD19">
        <f t="shared" si="13"/>
        <v>0.33770445082754108</v>
      </c>
      <c r="AE19">
        <f t="shared" si="14"/>
        <v>0.95666397370647938</v>
      </c>
      <c r="AF19">
        <f t="shared" si="15"/>
        <v>0.30229804132676885</v>
      </c>
      <c r="AG19">
        <f t="shared" si="16"/>
        <v>3.307993646306993</v>
      </c>
    </row>
    <row r="20" spans="3:33" x14ac:dyDescent="0.25">
      <c r="C20" s="40" t="s">
        <v>127</v>
      </c>
      <c r="D20">
        <f t="shared" si="25"/>
        <v>110.36871343167137</v>
      </c>
      <c r="E20">
        <f t="shared" si="26"/>
        <v>33.648997997460782</v>
      </c>
      <c r="F20">
        <f t="shared" si="27"/>
        <v>0.50927482794292311</v>
      </c>
      <c r="G20">
        <f t="shared" si="28"/>
        <v>7.0883950166125156E-2</v>
      </c>
      <c r="H20">
        <f t="shared" si="29"/>
        <v>111.58728287801007</v>
      </c>
      <c r="I20" s="21">
        <f t="shared" si="30"/>
        <v>769.36753449598871</v>
      </c>
      <c r="J20">
        <f t="shared" si="31"/>
        <v>133.19412830468488</v>
      </c>
      <c r="K20" s="21">
        <f t="shared" si="32"/>
        <v>918.34154807000914</v>
      </c>
      <c r="L20">
        <f t="shared" si="33"/>
        <v>627.13894213286619</v>
      </c>
      <c r="M20">
        <f t="shared" si="34"/>
        <v>348.41052340714788</v>
      </c>
      <c r="N20">
        <f>L20-'Example 7.2 - Pipe P1'!$C$8</f>
        <v>167.46894213286618</v>
      </c>
      <c r="O20">
        <f>M20-'Example 7.2 - Pipe P1'!$C$9</f>
        <v>75.2605234071479</v>
      </c>
      <c r="P20">
        <f t="shared" si="35"/>
        <v>659.67000000000007</v>
      </c>
      <c r="Q20">
        <f t="shared" si="36"/>
        <v>366.48333333333335</v>
      </c>
      <c r="R20">
        <f>P20-'Example 7.2 - Pipe P1'!$C$8</f>
        <v>200.00000000000006</v>
      </c>
      <c r="S20">
        <f>Q20-'Example 7.2 - Pipe P1'!$C$9</f>
        <v>93.333333333333371</v>
      </c>
      <c r="T20">
        <f t="shared" si="37"/>
        <v>0.48023585429174681</v>
      </c>
      <c r="U20">
        <f t="shared" si="38"/>
        <v>7.692638822538175</v>
      </c>
      <c r="V20">
        <f t="shared" si="39"/>
        <v>1227.659286577582</v>
      </c>
      <c r="W20">
        <f t="shared" si="40"/>
        <v>374.28636785901892</v>
      </c>
      <c r="X20">
        <f t="shared" si="41"/>
        <v>625.21597194432979</v>
      </c>
      <c r="Y20">
        <f t="shared" si="42"/>
        <v>190.61462559278348</v>
      </c>
      <c r="AA20">
        <f t="shared" si="10"/>
        <v>0.88284646905144004</v>
      </c>
      <c r="AB20">
        <f t="shared" si="11"/>
        <v>0.50927482794292311</v>
      </c>
      <c r="AC20">
        <f t="shared" si="12"/>
        <v>0.28324705649923249</v>
      </c>
      <c r="AD20">
        <f t="shared" si="13"/>
        <v>0.33298532076171222</v>
      </c>
      <c r="AE20">
        <f t="shared" si="14"/>
        <v>0.95482944827852545</v>
      </c>
      <c r="AF20">
        <f t="shared" si="15"/>
        <v>0.29664675404586893</v>
      </c>
      <c r="AG20">
        <f t="shared" si="16"/>
        <v>3.3710127832559222</v>
      </c>
    </row>
    <row r="21" spans="3:33" x14ac:dyDescent="0.25">
      <c r="C21" s="40" t="s">
        <v>127</v>
      </c>
      <c r="D21">
        <f t="shared" si="25"/>
        <v>111.4479793698696</v>
      </c>
      <c r="E21">
        <f t="shared" si="26"/>
        <v>33.978042490813905</v>
      </c>
      <c r="F21">
        <f t="shared" si="27"/>
        <v>0.51927482794292312</v>
      </c>
      <c r="G21">
        <f t="shared" si="28"/>
        <v>7.1853424096046822E-2</v>
      </c>
      <c r="H21">
        <f t="shared" si="29"/>
        <v>109.33152164624246</v>
      </c>
      <c r="I21" s="21">
        <f t="shared" si="30"/>
        <v>753.81460218564666</v>
      </c>
      <c r="J21">
        <f t="shared" si="31"/>
        <v>131.39702208971278</v>
      </c>
      <c r="K21" s="21">
        <f t="shared" si="32"/>
        <v>905.95093202326802</v>
      </c>
      <c r="L21">
        <f t="shared" si="33"/>
        <v>625.91486844621625</v>
      </c>
      <c r="M21">
        <f t="shared" si="34"/>
        <v>347.73048247012014</v>
      </c>
      <c r="N21">
        <f>L21-'Example 7.2 - Pipe P1'!$C$8</f>
        <v>166.24486844621623</v>
      </c>
      <c r="O21">
        <f>M21-'Example 7.2 - Pipe P1'!$C$9</f>
        <v>74.58048247012016</v>
      </c>
      <c r="P21">
        <f t="shared" si="35"/>
        <v>659.67000000000007</v>
      </c>
      <c r="Q21">
        <f t="shared" si="36"/>
        <v>366.48333333333335</v>
      </c>
      <c r="R21">
        <f>P21-'Example 7.2 - Pipe P1'!$C$8</f>
        <v>200.00000000000006</v>
      </c>
      <c r="S21">
        <f>Q21-'Example 7.2 - Pipe P1'!$C$9</f>
        <v>93.333333333333371</v>
      </c>
      <c r="T21">
        <f t="shared" si="37"/>
        <v>0.47144797199971278</v>
      </c>
      <c r="U21">
        <f t="shared" si="38"/>
        <v>7.5518704815585194</v>
      </c>
      <c r="V21">
        <f t="shared" si="39"/>
        <v>1226.4606052939723</v>
      </c>
      <c r="W21">
        <f t="shared" si="40"/>
        <v>373.92091624816231</v>
      </c>
      <c r="X21">
        <f t="shared" si="41"/>
        <v>636.87011979280078</v>
      </c>
      <c r="Y21">
        <f t="shared" si="42"/>
        <v>194.16771944902464</v>
      </c>
      <c r="AA21">
        <f t="shared" si="10"/>
        <v>0.89147958701648444</v>
      </c>
      <c r="AB21">
        <f t="shared" si="11"/>
        <v>0.51927482794292312</v>
      </c>
      <c r="AC21">
        <f t="shared" si="12"/>
        <v>0.27752115554901613</v>
      </c>
      <c r="AD21">
        <f t="shared" si="13"/>
        <v>0.32849255522428195</v>
      </c>
      <c r="AE21">
        <f t="shared" si="14"/>
        <v>0.95296577577414987</v>
      </c>
      <c r="AF21">
        <f t="shared" si="15"/>
        <v>0.29121838643530445</v>
      </c>
      <c r="AG21">
        <f t="shared" si="16"/>
        <v>3.4338491200388352</v>
      </c>
    </row>
    <row r="22" spans="3:33" x14ac:dyDescent="0.25">
      <c r="C22" s="40" t="s">
        <v>127</v>
      </c>
      <c r="D22">
        <f t="shared" si="25"/>
        <v>112.45029093009315</v>
      </c>
      <c r="E22">
        <f t="shared" si="26"/>
        <v>34.283625283564987</v>
      </c>
      <c r="F22">
        <f t="shared" si="27"/>
        <v>0.52927482794292313</v>
      </c>
      <c r="G22">
        <f t="shared" si="28"/>
        <v>7.2801704507617096E-2</v>
      </c>
      <c r="H22">
        <f t="shared" si="29"/>
        <v>107.15927705681526</v>
      </c>
      <c r="I22" s="21">
        <f t="shared" si="30"/>
        <v>738.83749708024754</v>
      </c>
      <c r="J22">
        <f t="shared" si="31"/>
        <v>129.68550691257423</v>
      </c>
      <c r="K22" s="21">
        <f t="shared" si="32"/>
        <v>894.15044564054028</v>
      </c>
      <c r="L22">
        <f t="shared" si="33"/>
        <v>624.67190171853554</v>
      </c>
      <c r="M22">
        <f t="shared" si="34"/>
        <v>347.03994539918642</v>
      </c>
      <c r="N22">
        <f>L22-'Example 7.2 - Pipe P1'!$C$8</f>
        <v>165.00190171853552</v>
      </c>
      <c r="O22">
        <f>M22-'Example 7.2 - Pipe P1'!$C$9</f>
        <v>73.889945399186445</v>
      </c>
      <c r="P22">
        <f t="shared" si="35"/>
        <v>659.67000000000007</v>
      </c>
      <c r="Q22">
        <f t="shared" si="36"/>
        <v>366.48333333333335</v>
      </c>
      <c r="R22">
        <f>P22-'Example 7.2 - Pipe P1'!$C$8</f>
        <v>200.00000000000006</v>
      </c>
      <c r="S22">
        <f>Q22-'Example 7.2 - Pipe P1'!$C$9</f>
        <v>93.333333333333371</v>
      </c>
      <c r="T22">
        <f t="shared" si="37"/>
        <v>0.4630004905456801</v>
      </c>
      <c r="U22">
        <f t="shared" si="38"/>
        <v>7.4165548377863555</v>
      </c>
      <c r="V22">
        <f t="shared" si="39"/>
        <v>1225.2422229046394</v>
      </c>
      <c r="W22">
        <f t="shared" si="40"/>
        <v>373.54945820263401</v>
      </c>
      <c r="X22">
        <f t="shared" si="41"/>
        <v>648.48986671625767</v>
      </c>
      <c r="Y22">
        <f t="shared" si="42"/>
        <v>197.71032521837125</v>
      </c>
      <c r="AA22">
        <f t="shared" si="10"/>
        <v>0.899497141940513</v>
      </c>
      <c r="AB22">
        <f t="shared" si="11"/>
        <v>0.52927482794292313</v>
      </c>
      <c r="AC22">
        <f t="shared" si="12"/>
        <v>0.27200724867645359</v>
      </c>
      <c r="AD22">
        <f t="shared" si="13"/>
        <v>0.32421376728143558</v>
      </c>
      <c r="AE22">
        <f t="shared" si="14"/>
        <v>0.95107333830122942</v>
      </c>
      <c r="AF22">
        <f t="shared" si="15"/>
        <v>0.28600028801385863</v>
      </c>
      <c r="AG22">
        <f t="shared" si="16"/>
        <v>3.4964999753830419</v>
      </c>
    </row>
    <row r="23" spans="3:33" x14ac:dyDescent="0.25">
      <c r="C23" s="40" t="s">
        <v>127</v>
      </c>
      <c r="D23">
        <f t="shared" si="25"/>
        <v>113.38166879517588</v>
      </c>
      <c r="E23">
        <f t="shared" si="26"/>
        <v>34.56758194974875</v>
      </c>
      <c r="F23">
        <f t="shared" si="27"/>
        <v>0.53927482794292314</v>
      </c>
      <c r="G23">
        <f t="shared" si="28"/>
        <v>7.3728679025178143E-2</v>
      </c>
      <c r="H23">
        <f t="shared" si="29"/>
        <v>105.06591935068025</v>
      </c>
      <c r="I23" s="21">
        <f t="shared" si="30"/>
        <v>724.40429810229614</v>
      </c>
      <c r="J23">
        <f t="shared" si="31"/>
        <v>128.05499946561605</v>
      </c>
      <c r="K23" s="21">
        <f t="shared" si="32"/>
        <v>882.90848811555088</v>
      </c>
      <c r="L23">
        <f t="shared" si="33"/>
        <v>623.41029523560178</v>
      </c>
      <c r="M23">
        <f t="shared" si="34"/>
        <v>346.33905290866767</v>
      </c>
      <c r="N23">
        <f>L23-'Example 7.2 - Pipe P1'!$C$8</f>
        <v>163.74029523560176</v>
      </c>
      <c r="O23">
        <f>M23-'Example 7.2 - Pipe P1'!$C$9</f>
        <v>73.189052908667691</v>
      </c>
      <c r="P23">
        <f t="shared" si="35"/>
        <v>659.67000000000007</v>
      </c>
      <c r="Q23">
        <f t="shared" si="36"/>
        <v>366.48333333333335</v>
      </c>
      <c r="R23">
        <f>P23-'Example 7.2 - Pipe P1'!$C$8</f>
        <v>200.00000000000006</v>
      </c>
      <c r="S23">
        <f>Q23-'Example 7.2 - Pipe P1'!$C$9</f>
        <v>93.333333333333371</v>
      </c>
      <c r="T23">
        <f t="shared" si="37"/>
        <v>0.45487444900641566</v>
      </c>
      <c r="U23">
        <f t="shared" si="38"/>
        <v>7.2863881664313093</v>
      </c>
      <c r="V23">
        <f t="shared" si="39"/>
        <v>1224.0043292285081</v>
      </c>
      <c r="W23">
        <f t="shared" si="40"/>
        <v>373.17205159405739</v>
      </c>
      <c r="X23">
        <f t="shared" si="41"/>
        <v>660.07472404609678</v>
      </c>
      <c r="Y23">
        <f t="shared" si="42"/>
        <v>201.24229391649294</v>
      </c>
      <c r="AA23">
        <f t="shared" si="10"/>
        <v>0.9069472936544769</v>
      </c>
      <c r="AB23">
        <f t="shared" si="11"/>
        <v>0.53927482794292314</v>
      </c>
      <c r="AC23">
        <f t="shared" si="12"/>
        <v>0.26669358395436388</v>
      </c>
      <c r="AD23">
        <f t="shared" si="13"/>
        <v>0.32013749866404012</v>
      </c>
      <c r="AE23">
        <f t="shared" si="14"/>
        <v>0.94915252149156459</v>
      </c>
      <c r="AF23">
        <f t="shared" si="15"/>
        <v>0.28098074641919824</v>
      </c>
      <c r="AG23">
        <f t="shared" si="16"/>
        <v>3.5589627145060296</v>
      </c>
    </row>
    <row r="24" spans="3:33" x14ac:dyDescent="0.25">
      <c r="C24" s="40" t="s">
        <v>127</v>
      </c>
      <c r="D24">
        <f t="shared" si="25"/>
        <v>114.24757807924503</v>
      </c>
      <c r="E24">
        <f t="shared" si="26"/>
        <v>34.831578682696659</v>
      </c>
      <c r="F24">
        <f t="shared" si="27"/>
        <v>0.54927482794292315</v>
      </c>
      <c r="G24">
        <f t="shared" si="28"/>
        <v>7.4634247845863838E-2</v>
      </c>
      <c r="H24">
        <f t="shared" si="29"/>
        <v>103.04715609050396</v>
      </c>
      <c r="I24" s="21">
        <f t="shared" si="30"/>
        <v>710.48540992656308</v>
      </c>
      <c r="J24">
        <f t="shared" si="31"/>
        <v>126.5012541248916</v>
      </c>
      <c r="K24" s="21">
        <f t="shared" si="32"/>
        <v>872.19578689013758</v>
      </c>
      <c r="L24">
        <f t="shared" si="33"/>
        <v>622.13030447929577</v>
      </c>
      <c r="M24">
        <f t="shared" si="34"/>
        <v>345.62794693294211</v>
      </c>
      <c r="N24">
        <f>L24-'Example 7.2 - Pipe P1'!$C$8</f>
        <v>162.46030447929576</v>
      </c>
      <c r="O24">
        <f>M24-'Example 7.2 - Pipe P1'!$C$9</f>
        <v>72.477946932942132</v>
      </c>
      <c r="P24">
        <f t="shared" si="35"/>
        <v>659.67000000000007</v>
      </c>
      <c r="Q24">
        <f t="shared" si="36"/>
        <v>366.48333333333335</v>
      </c>
      <c r="R24">
        <f>P24-'Example 7.2 - Pipe P1'!$C$8</f>
        <v>200.00000000000006</v>
      </c>
      <c r="S24">
        <f>Q24-'Example 7.2 - Pipe P1'!$C$9</f>
        <v>93.333333333333371</v>
      </c>
      <c r="T24">
        <f t="shared" si="37"/>
        <v>0.44705226692149214</v>
      </c>
      <c r="U24">
        <f t="shared" si="38"/>
        <v>7.1610888555912453</v>
      </c>
      <c r="V24">
        <f t="shared" si="39"/>
        <v>1222.7471160712075</v>
      </c>
      <c r="W24">
        <f t="shared" si="40"/>
        <v>372.78875489975843</v>
      </c>
      <c r="X24">
        <f t="shared" si="41"/>
        <v>671.62421179771798</v>
      </c>
      <c r="Y24">
        <f t="shared" si="42"/>
        <v>204.76347920662135</v>
      </c>
      <c r="AA24">
        <f t="shared" si="10"/>
        <v>0.91387375795935066</v>
      </c>
      <c r="AB24">
        <f t="shared" si="11"/>
        <v>0.54927482794292315</v>
      </c>
      <c r="AC24">
        <f t="shared" si="12"/>
        <v>0.26156926569455968</v>
      </c>
      <c r="AD24">
        <f t="shared" si="13"/>
        <v>0.31625313531222898</v>
      </c>
      <c r="AE24">
        <f t="shared" si="14"/>
        <v>0.94720371432055916</v>
      </c>
      <c r="AF24">
        <f t="shared" si="15"/>
        <v>0.27614890201543024</v>
      </c>
      <c r="AG24">
        <f t="shared" si="16"/>
        <v>3.621234749447324</v>
      </c>
    </row>
    <row r="25" spans="3:33" x14ac:dyDescent="0.25">
      <c r="C25" s="40" t="s">
        <v>127</v>
      </c>
      <c r="D25">
        <f t="shared" si="25"/>
        <v>115.05298804669823</v>
      </c>
      <c r="E25">
        <f t="shared" si="26"/>
        <v>35.077130502042145</v>
      </c>
      <c r="F25">
        <f t="shared" si="27"/>
        <v>0.55927482794292316</v>
      </c>
      <c r="G25">
        <f t="shared" si="28"/>
        <v>7.5518323637936619E-2</v>
      </c>
      <c r="H25">
        <f t="shared" si="29"/>
        <v>101.09900199733315</v>
      </c>
      <c r="I25" s="21">
        <f t="shared" si="30"/>
        <v>697.05335501113268</v>
      </c>
      <c r="J25">
        <f t="shared" si="31"/>
        <v>125.02033279280732</v>
      </c>
      <c r="K25" s="21">
        <f t="shared" si="32"/>
        <v>861.98518972653619</v>
      </c>
      <c r="L25">
        <f t="shared" si="33"/>
        <v>620.83218700933992</v>
      </c>
      <c r="M25">
        <f t="shared" si="34"/>
        <v>344.90677056074441</v>
      </c>
      <c r="N25">
        <f>L25-'Example 7.2 - Pipe P1'!$C$8</f>
        <v>161.1621870093399</v>
      </c>
      <c r="O25">
        <f>M25-'Example 7.2 - Pipe P1'!$C$9</f>
        <v>71.756770560744428</v>
      </c>
      <c r="P25">
        <f t="shared" si="35"/>
        <v>659.67000000000007</v>
      </c>
      <c r="Q25">
        <f t="shared" si="36"/>
        <v>366.48333333333335</v>
      </c>
      <c r="R25">
        <f>P25-'Example 7.2 - Pipe P1'!$C$8</f>
        <v>200.00000000000006</v>
      </c>
      <c r="S25">
        <f>Q25-'Example 7.2 - Pipe P1'!$C$9</f>
        <v>93.333333333333371</v>
      </c>
      <c r="T25">
        <f t="shared" si="37"/>
        <v>0.43951762088376511</v>
      </c>
      <c r="U25">
        <f t="shared" si="38"/>
        <v>7.040395429421757</v>
      </c>
      <c r="V25">
        <f t="shared" si="39"/>
        <v>1221.4707771492874</v>
      </c>
      <c r="W25">
        <f t="shared" si="40"/>
        <v>372.3996271796608</v>
      </c>
      <c r="X25">
        <f t="shared" si="41"/>
        <v>683.13785872747633</v>
      </c>
      <c r="Y25">
        <f t="shared" si="42"/>
        <v>208.27373741691352</v>
      </c>
      <c r="AA25">
        <f t="shared" si="10"/>
        <v>0.92031628432208756</v>
      </c>
      <c r="AB25">
        <f t="shared" si="11"/>
        <v>0.55927482794292316</v>
      </c>
      <c r="AC25">
        <f t="shared" si="12"/>
        <v>0.25662417788288838</v>
      </c>
      <c r="AD25">
        <f t="shared" si="13"/>
        <v>0.31255083198201833</v>
      </c>
      <c r="AE25">
        <f t="shared" si="14"/>
        <v>0.94522730892716533</v>
      </c>
      <c r="AF25">
        <f t="shared" si="15"/>
        <v>0.27149467166173735</v>
      </c>
      <c r="AG25">
        <f t="shared" si="16"/>
        <v>3.6833135393755612</v>
      </c>
    </row>
    <row r="26" spans="3:33" x14ac:dyDescent="0.25">
      <c r="C26" s="40" t="s">
        <v>127</v>
      </c>
      <c r="D26">
        <f t="shared" si="25"/>
        <v>115.80242450723776</v>
      </c>
      <c r="E26">
        <f t="shared" si="26"/>
        <v>35.305617227816391</v>
      </c>
      <c r="F26">
        <f t="shared" si="27"/>
        <v>0.56927482794292317</v>
      </c>
      <c r="G26">
        <f t="shared" si="28"/>
        <v>7.6380831428146168E-2</v>
      </c>
      <c r="H26">
        <f t="shared" si="29"/>
        <v>99.217751966388221</v>
      </c>
      <c r="I26" s="21">
        <f t="shared" si="30"/>
        <v>684.08258754777478</v>
      </c>
      <c r="J26">
        <f t="shared" si="31"/>
        <v>123.60857791986086</v>
      </c>
      <c r="K26" s="21">
        <f t="shared" si="32"/>
        <v>852.2514786987399</v>
      </c>
      <c r="L26">
        <f t="shared" si="33"/>
        <v>619.51620234530333</v>
      </c>
      <c r="M26">
        <f t="shared" si="34"/>
        <v>344.17566796961296</v>
      </c>
      <c r="N26">
        <f>L26-'Example 7.2 - Pipe P1'!$C$8</f>
        <v>159.84620234530331</v>
      </c>
      <c r="O26">
        <f>M26-'Example 7.2 - Pipe P1'!$C$9</f>
        <v>71.025667969612982</v>
      </c>
      <c r="P26">
        <f t="shared" si="35"/>
        <v>659.67000000000007</v>
      </c>
      <c r="Q26">
        <f t="shared" si="36"/>
        <v>366.48333333333335</v>
      </c>
      <c r="R26">
        <f>P26-'Example 7.2 - Pipe P1'!$C$8</f>
        <v>200.00000000000006</v>
      </c>
      <c r="S26">
        <f>Q26-'Example 7.2 - Pipe P1'!$C$9</f>
        <v>93.333333333333371</v>
      </c>
      <c r="T26">
        <f t="shared" si="37"/>
        <v>0.43225533413691103</v>
      </c>
      <c r="U26">
        <f t="shared" si="38"/>
        <v>6.9240647796587442</v>
      </c>
      <c r="V26">
        <f t="shared" si="39"/>
        <v>1220.1755080143798</v>
      </c>
      <c r="W26">
        <f t="shared" si="40"/>
        <v>372.00472805316463</v>
      </c>
      <c r="X26">
        <f t="shared" si="41"/>
        <v>694.615202385055</v>
      </c>
      <c r="Y26">
        <f t="shared" si="42"/>
        <v>211.77292755641923</v>
      </c>
      <c r="AA26">
        <f t="shared" si="10"/>
        <v>0.92631107498688359</v>
      </c>
      <c r="AB26">
        <f t="shared" si="11"/>
        <v>0.56927482794292317</v>
      </c>
      <c r="AC26">
        <f t="shared" si="12"/>
        <v>0.25184891568399809</v>
      </c>
      <c r="AD26">
        <f t="shared" si="13"/>
        <v>0.30902144479965216</v>
      </c>
      <c r="AE26">
        <f t="shared" si="14"/>
        <v>0.94322370043423454</v>
      </c>
      <c r="AF26">
        <f t="shared" si="15"/>
        <v>0.26700868051561227</v>
      </c>
      <c r="AG26">
        <f t="shared" si="16"/>
        <v>3.7451965908708678</v>
      </c>
    </row>
    <row r="27" spans="3:33" x14ac:dyDescent="0.25">
      <c r="C27" s="40" t="s">
        <v>127</v>
      </c>
      <c r="D27">
        <f t="shared" si="25"/>
        <v>116.50001589353151</v>
      </c>
      <c r="E27">
        <f t="shared" si="26"/>
        <v>35.51829752851571</v>
      </c>
      <c r="F27">
        <f t="shared" si="27"/>
        <v>0.57927482794292318</v>
      </c>
      <c r="G27">
        <f t="shared" si="28"/>
        <v>7.7221708478458828E-2</v>
      </c>
      <c r="H27">
        <f t="shared" si="29"/>
        <v>97.39995687782077</v>
      </c>
      <c r="I27" s="21">
        <f t="shared" si="30"/>
        <v>671.54932668292349</v>
      </c>
      <c r="J27">
        <f t="shared" si="31"/>
        <v>122.26258832130662</v>
      </c>
      <c r="K27" s="21">
        <f t="shared" si="32"/>
        <v>842.97120345421206</v>
      </c>
      <c r="L27">
        <f t="shared" si="33"/>
        <v>618.18261184896369</v>
      </c>
      <c r="M27">
        <f t="shared" si="34"/>
        <v>343.43478436053539</v>
      </c>
      <c r="N27">
        <f>L27-'Example 7.2 - Pipe P1'!$C$8</f>
        <v>158.51261184896367</v>
      </c>
      <c r="O27">
        <f>M27-'Example 7.2 - Pipe P1'!$C$9</f>
        <v>70.284784360535411</v>
      </c>
      <c r="P27">
        <f t="shared" si="35"/>
        <v>659.67000000000007</v>
      </c>
      <c r="Q27">
        <f t="shared" si="36"/>
        <v>366.48333333333335</v>
      </c>
      <c r="R27">
        <f>P27-'Example 7.2 - Pipe P1'!$C$8</f>
        <v>200.00000000000006</v>
      </c>
      <c r="S27">
        <f>Q27-'Example 7.2 - Pipe P1'!$C$9</f>
        <v>93.333333333333371</v>
      </c>
      <c r="T27">
        <f t="shared" si="37"/>
        <v>0.42525127760823733</v>
      </c>
      <c r="U27">
        <f t="shared" si="38"/>
        <v>6.8118705803164454</v>
      </c>
      <c r="V27">
        <f t="shared" si="39"/>
        <v>1218.8615059773615</v>
      </c>
      <c r="W27">
        <f t="shared" si="40"/>
        <v>371.60411767602488</v>
      </c>
      <c r="X27">
        <f t="shared" si="41"/>
        <v>706.05578916128832</v>
      </c>
      <c r="Y27">
        <f t="shared" si="42"/>
        <v>215.2609113296611</v>
      </c>
      <c r="AA27">
        <f t="shared" si="10"/>
        <v>0.93189115355336438</v>
      </c>
      <c r="AB27">
        <f t="shared" si="11"/>
        <v>0.57927482794292318</v>
      </c>
      <c r="AC27">
        <f t="shared" si="12"/>
        <v>0.24723472404068708</v>
      </c>
      <c r="AD27">
        <f t="shared" si="13"/>
        <v>0.30565647080326658</v>
      </c>
      <c r="AE27">
        <f t="shared" si="14"/>
        <v>0.94119328676941116</v>
      </c>
      <c r="AF27">
        <f t="shared" si="15"/>
        <v>0.26268220089978039</v>
      </c>
      <c r="AG27">
        <f t="shared" si="16"/>
        <v>3.8068814581827111</v>
      </c>
    </row>
    <row r="28" spans="3:33" x14ac:dyDescent="0.25">
      <c r="C28" s="40" t="s">
        <v>127</v>
      </c>
      <c r="D28">
        <f t="shared" si="25"/>
        <v>117.14953387526157</v>
      </c>
      <c r="E28">
        <f t="shared" si="26"/>
        <v>35.716321303433404</v>
      </c>
      <c r="F28">
        <f t="shared" si="27"/>
        <v>0.58927482794292319</v>
      </c>
      <c r="G28">
        <f t="shared" si="28"/>
        <v>7.804090415251623E-2</v>
      </c>
      <c r="H28">
        <f t="shared" si="29"/>
        <v>95.642401870425005</v>
      </c>
      <c r="I28" s="21">
        <f t="shared" si="30"/>
        <v>659.43140672013146</v>
      </c>
      <c r="J28">
        <f t="shared" si="31"/>
        <v>120.97919745673977</v>
      </c>
      <c r="K28" s="21">
        <f t="shared" si="32"/>
        <v>834.1225314568311</v>
      </c>
      <c r="L28">
        <f t="shared" si="33"/>
        <v>616.83167860711137</v>
      </c>
      <c r="M28">
        <f t="shared" si="34"/>
        <v>342.68426589283962</v>
      </c>
      <c r="N28">
        <f>L28-'Example 7.2 - Pipe P1'!$C$8</f>
        <v>157.16167860711136</v>
      </c>
      <c r="O28">
        <f>M28-'Example 7.2 - Pipe P1'!$C$9</f>
        <v>69.534265892839642</v>
      </c>
      <c r="P28">
        <f t="shared" si="35"/>
        <v>659.67000000000007</v>
      </c>
      <c r="Q28">
        <f t="shared" si="36"/>
        <v>366.48333333333335</v>
      </c>
      <c r="R28">
        <f>P28-'Example 7.2 - Pipe P1'!$C$8</f>
        <v>200.00000000000006</v>
      </c>
      <c r="S28">
        <f>Q28-'Example 7.2 - Pipe P1'!$C$9</f>
        <v>93.333333333333371</v>
      </c>
      <c r="T28">
        <f t="shared" si="37"/>
        <v>0.41849228101836883</v>
      </c>
      <c r="U28">
        <f t="shared" si="38"/>
        <v>6.7036018638015005</v>
      </c>
      <c r="V28">
        <f t="shared" si="39"/>
        <v>1217.528970032565</v>
      </c>
      <c r="W28">
        <f t="shared" si="40"/>
        <v>371.19785671724543</v>
      </c>
      <c r="X28">
        <f t="shared" si="41"/>
        <v>717.45917433146417</v>
      </c>
      <c r="Y28">
        <f t="shared" si="42"/>
        <v>218.73755314983666</v>
      </c>
      <c r="AA28">
        <f t="shared" si="10"/>
        <v>0.93708668985098376</v>
      </c>
      <c r="AB28">
        <f t="shared" si="11"/>
        <v>0.58927482794292319</v>
      </c>
      <c r="AC28">
        <f t="shared" si="12"/>
        <v>0.24277344252508132</v>
      </c>
      <c r="AD28">
        <f t="shared" si="13"/>
        <v>0.30244799364184943</v>
      </c>
      <c r="AE28">
        <f t="shared" si="14"/>
        <v>0.93913646848670007</v>
      </c>
      <c r="AF28">
        <f t="shared" si="15"/>
        <v>0.25850709739371541</v>
      </c>
      <c r="AG28">
        <f t="shared" si="16"/>
        <v>3.8683657434633769</v>
      </c>
    </row>
    <row r="29" spans="3:33" x14ac:dyDescent="0.25">
      <c r="C29" s="40" t="s">
        <v>127</v>
      </c>
      <c r="D29">
        <f t="shared" si="25"/>
        <v>117.75442923584163</v>
      </c>
      <c r="E29">
        <f t="shared" si="26"/>
        <v>35.900740620683422</v>
      </c>
      <c r="F29">
        <f t="shared" si="27"/>
        <v>0.59927482794292319</v>
      </c>
      <c r="G29">
        <f t="shared" si="28"/>
        <v>7.8838379772191228E-2</v>
      </c>
      <c r="H29">
        <f t="shared" si="29"/>
        <v>93.942086790615491</v>
      </c>
      <c r="I29" s="21">
        <f t="shared" si="30"/>
        <v>647.70814232046405</v>
      </c>
      <c r="J29">
        <f t="shared" si="31"/>
        <v>119.7554538849112</v>
      </c>
      <c r="K29" s="21">
        <f t="shared" si="32"/>
        <v>825.68511322753034</v>
      </c>
      <c r="L29">
        <f t="shared" si="33"/>
        <v>615.46366731488126</v>
      </c>
      <c r="M29">
        <f t="shared" si="34"/>
        <v>341.92425961937846</v>
      </c>
      <c r="N29">
        <f>L29-'Example 7.2 - Pipe P1'!$C$8</f>
        <v>155.79366731488125</v>
      </c>
      <c r="O29">
        <f>M29-'Example 7.2 - Pipe P1'!$C$9</f>
        <v>68.774259619378483</v>
      </c>
      <c r="P29">
        <f t="shared" si="35"/>
        <v>659.67000000000007</v>
      </c>
      <c r="Q29">
        <f t="shared" si="36"/>
        <v>366.48333333333335</v>
      </c>
      <c r="R29">
        <f>P29-'Example 7.2 - Pipe P1'!$C$8</f>
        <v>200.00000000000006</v>
      </c>
      <c r="S29">
        <f>Q29-'Example 7.2 - Pipe P1'!$C$9</f>
        <v>93.333333333333371</v>
      </c>
      <c r="T29">
        <f t="shared" si="37"/>
        <v>0.41196605289074961</v>
      </c>
      <c r="U29">
        <f t="shared" si="38"/>
        <v>6.5990617395883575</v>
      </c>
      <c r="V29">
        <f t="shared" si="39"/>
        <v>1216.1781007820896</v>
      </c>
      <c r="W29">
        <f t="shared" si="40"/>
        <v>370.78600633600297</v>
      </c>
      <c r="X29">
        <f t="shared" si="41"/>
        <v>728.82492209413783</v>
      </c>
      <c r="Y29">
        <f t="shared" si="42"/>
        <v>222.2027201506518</v>
      </c>
      <c r="AA29">
        <f t="shared" si="10"/>
        <v>0.94192528691920385</v>
      </c>
      <c r="AB29">
        <f t="shared" si="11"/>
        <v>0.59927482794292319</v>
      </c>
      <c r="AC29">
        <f t="shared" si="12"/>
        <v>0.23845745571138852</v>
      </c>
      <c r="AD29">
        <f t="shared" si="13"/>
        <v>0.299388634712278</v>
      </c>
      <c r="AE29">
        <f t="shared" si="14"/>
        <v>0.93705364858883744</v>
      </c>
      <c r="AF29">
        <f t="shared" si="15"/>
        <v>0.25447577742266436</v>
      </c>
      <c r="AG29">
        <f t="shared" si="16"/>
        <v>3.9296470969772419</v>
      </c>
    </row>
    <row r="30" spans="3:33" x14ac:dyDescent="0.25">
      <c r="C30" s="40" t="s">
        <v>127</v>
      </c>
      <c r="D30">
        <f t="shared" si="25"/>
        <v>118.3178636313926</v>
      </c>
      <c r="E30">
        <f t="shared" si="26"/>
        <v>36.072519399814816</v>
      </c>
      <c r="F30">
        <f t="shared" si="27"/>
        <v>0.6092748279429232</v>
      </c>
      <c r="G30">
        <f t="shared" si="28"/>
        <v>7.9614108464618721E-2</v>
      </c>
      <c r="H30">
        <f t="shared" si="29"/>
        <v>92.296208566755737</v>
      </c>
      <c r="I30" s="21">
        <f t="shared" si="30"/>
        <v>636.36020697772472</v>
      </c>
      <c r="J30">
        <f t="shared" si="31"/>
        <v>118.58860364385767</v>
      </c>
      <c r="K30" s="21">
        <f t="shared" si="32"/>
        <v>817.63996085952408</v>
      </c>
      <c r="L30">
        <f t="shared" si="33"/>
        <v>614.07884415969772</v>
      </c>
      <c r="M30">
        <f t="shared" si="34"/>
        <v>341.15491342205428</v>
      </c>
      <c r="N30">
        <f>L30-'Example 7.2 - Pipe P1'!$C$8</f>
        <v>154.40884415969771</v>
      </c>
      <c r="O30">
        <f>M30-'Example 7.2 - Pipe P1'!$C$9</f>
        <v>68.004913422054301</v>
      </c>
      <c r="P30">
        <f t="shared" si="35"/>
        <v>659.67000000000007</v>
      </c>
      <c r="Q30">
        <f t="shared" si="36"/>
        <v>366.48333333333335</v>
      </c>
      <c r="R30">
        <f>P30-'Example 7.2 - Pipe P1'!$C$8</f>
        <v>200.00000000000006</v>
      </c>
      <c r="S30">
        <f>Q30-'Example 7.2 - Pipe P1'!$C$9</f>
        <v>93.333333333333371</v>
      </c>
      <c r="T30">
        <f t="shared" si="37"/>
        <v>0.40566110843844611</v>
      </c>
      <c r="U30">
        <f t="shared" si="38"/>
        <v>6.4980662390769117</v>
      </c>
      <c r="V30">
        <f t="shared" si="39"/>
        <v>1214.8091003602642</v>
      </c>
      <c r="W30">
        <f t="shared" si="40"/>
        <v>370.36862815861718</v>
      </c>
      <c r="X30">
        <f t="shared" si="41"/>
        <v>740.15260560549734</v>
      </c>
      <c r="Y30">
        <f t="shared" si="42"/>
        <v>225.65628219679797</v>
      </c>
      <c r="AA30">
        <f t="shared" si="10"/>
        <v>0.94643223504959273</v>
      </c>
      <c r="AB30">
        <f t="shared" si="11"/>
        <v>0.6092748279429232</v>
      </c>
      <c r="AC30">
        <f t="shared" si="12"/>
        <v>0.23427964843585775</v>
      </c>
      <c r="AD30">
        <f t="shared" si="13"/>
        <v>0.29647150910964415</v>
      </c>
      <c r="AE30">
        <f t="shared" si="14"/>
        <v>0.93494523235059479</v>
      </c>
      <c r="AF30">
        <f t="shared" si="15"/>
        <v>0.25058114671256521</v>
      </c>
      <c r="AG30">
        <f t="shared" si="16"/>
        <v>3.990723217286066</v>
      </c>
    </row>
    <row r="31" spans="3:33" x14ac:dyDescent="0.25">
      <c r="C31" s="40" t="s">
        <v>127</v>
      </c>
      <c r="D31">
        <f t="shared" si="25"/>
        <v>118.84273776199457</v>
      </c>
      <c r="E31">
        <f t="shared" si="26"/>
        <v>36.232542000608106</v>
      </c>
      <c r="F31">
        <f t="shared" si="27"/>
        <v>0.61927482794292321</v>
      </c>
      <c r="G31">
        <f t="shared" si="28"/>
        <v>8.036807500008418E-2</v>
      </c>
      <c r="H31">
        <f t="shared" si="29"/>
        <v>90.702145291209575</v>
      </c>
      <c r="I31" s="21">
        <f t="shared" si="30"/>
        <v>625.36952326802009</v>
      </c>
      <c r="J31">
        <f t="shared" si="31"/>
        <v>117.47607433872064</v>
      </c>
      <c r="K31" s="21">
        <f t="shared" si="32"/>
        <v>809.96933830763749</v>
      </c>
      <c r="L31">
        <f t="shared" si="33"/>
        <v>612.67747670591041</v>
      </c>
      <c r="M31">
        <f t="shared" si="34"/>
        <v>340.37637594772798</v>
      </c>
      <c r="N31">
        <f>L31-'Example 7.2 - Pipe P1'!$C$8</f>
        <v>153.00747670591039</v>
      </c>
      <c r="O31">
        <f>M31-'Example 7.2 - Pipe P1'!$C$9</f>
        <v>67.226375947728002</v>
      </c>
      <c r="P31">
        <f t="shared" si="35"/>
        <v>659.67000000000007</v>
      </c>
      <c r="Q31">
        <f t="shared" si="36"/>
        <v>366.48333333333335</v>
      </c>
      <c r="R31">
        <f>P31-'Example 7.2 - Pipe P1'!$C$8</f>
        <v>200.00000000000006</v>
      </c>
      <c r="S31">
        <f>Q31-'Example 7.2 - Pipe P1'!$C$9</f>
        <v>93.333333333333371</v>
      </c>
      <c r="T31">
        <f t="shared" si="37"/>
        <v>0.39956670443784209</v>
      </c>
      <c r="U31">
        <f t="shared" si="38"/>
        <v>6.4004432723693965</v>
      </c>
      <c r="V31">
        <f t="shared" si="39"/>
        <v>1213.4221723583059</v>
      </c>
      <c r="W31">
        <f t="shared" si="40"/>
        <v>369.94578425558109</v>
      </c>
      <c r="X31">
        <f t="shared" si="41"/>
        <v>751.44180700931804</v>
      </c>
      <c r="Y31">
        <f t="shared" si="42"/>
        <v>229.09811189308479</v>
      </c>
      <c r="AA31">
        <f t="shared" si="10"/>
        <v>0.95063073712948953</v>
      </c>
      <c r="AB31">
        <f t="shared" si="11"/>
        <v>0.61927482794292321</v>
      </c>
      <c r="AC31">
        <f t="shared" si="12"/>
        <v>0.23023336539152928</v>
      </c>
      <c r="AD31">
        <f t="shared" si="13"/>
        <v>0.29369018584680157</v>
      </c>
      <c r="AE31">
        <f t="shared" si="14"/>
        <v>0.93281162714313548</v>
      </c>
      <c r="AF31">
        <f t="shared" si="15"/>
        <v>0.2468165690608411</v>
      </c>
      <c r="AG31">
        <f t="shared" si="16"/>
        <v>4.0515918514104978</v>
      </c>
    </row>
    <row r="32" spans="3:33" x14ac:dyDescent="0.25">
      <c r="C32" s="40" t="s">
        <v>127</v>
      </c>
      <c r="D32">
        <f t="shared" si="25"/>
        <v>119.33171640981067</v>
      </c>
      <c r="E32">
        <f t="shared" si="26"/>
        <v>36.381620856649597</v>
      </c>
      <c r="F32">
        <f t="shared" si="27"/>
        <v>0.62927482794292322</v>
      </c>
      <c r="G32">
        <f t="shared" si="28"/>
        <v>8.110027562116208E-2</v>
      </c>
      <c r="H32">
        <f t="shared" si="29"/>
        <v>89.157441820152528</v>
      </c>
      <c r="I32" s="21">
        <f t="shared" si="30"/>
        <v>614.71916356391478</v>
      </c>
      <c r="J32">
        <f t="shared" si="31"/>
        <v>116.41546074728961</v>
      </c>
      <c r="K32" s="21">
        <f t="shared" si="32"/>
        <v>802.65666214198257</v>
      </c>
      <c r="L32">
        <f t="shared" si="33"/>
        <v>611.25983378020396</v>
      </c>
      <c r="M32">
        <f t="shared" si="34"/>
        <v>339.58879654455774</v>
      </c>
      <c r="N32">
        <f>L32-'Example 7.2 - Pipe P1'!$C$8</f>
        <v>151.58983378020395</v>
      </c>
      <c r="O32">
        <f>M32-'Example 7.2 - Pipe P1'!$C$9</f>
        <v>66.438796544557761</v>
      </c>
      <c r="P32">
        <f t="shared" si="35"/>
        <v>659.67000000000007</v>
      </c>
      <c r="Q32">
        <f t="shared" si="36"/>
        <v>366.48333333333335</v>
      </c>
      <c r="R32">
        <f>P32-'Example 7.2 - Pipe P1'!$C$8</f>
        <v>200.00000000000006</v>
      </c>
      <c r="S32">
        <f>Q32-'Example 7.2 - Pipe P1'!$C$9</f>
        <v>93.333333333333371</v>
      </c>
      <c r="T32">
        <f t="shared" si="37"/>
        <v>0.39367278031200093</v>
      </c>
      <c r="U32">
        <f t="shared" si="38"/>
        <v>6.3060316845165749</v>
      </c>
      <c r="V32">
        <f t="shared" si="39"/>
        <v>1212.0175217492254</v>
      </c>
      <c r="W32">
        <f t="shared" si="40"/>
        <v>369.51753711866627</v>
      </c>
      <c r="X32">
        <f t="shared" si="41"/>
        <v>762.69211746255201</v>
      </c>
      <c r="Y32">
        <f t="shared" si="42"/>
        <v>232.52808459224147</v>
      </c>
      <c r="AA32">
        <f t="shared" si="10"/>
        <v>0.95454210892357361</v>
      </c>
      <c r="AB32">
        <f t="shared" si="11"/>
        <v>0.62927482794292322</v>
      </c>
      <c r="AC32">
        <f t="shared" si="12"/>
        <v>0.2263123745755832</v>
      </c>
      <c r="AD32">
        <f t="shared" si="13"/>
        <v>0.29103865186822403</v>
      </c>
      <c r="AE32">
        <f t="shared" si="14"/>
        <v>0.9306532422595486</v>
      </c>
      <c r="AF32">
        <f t="shared" si="15"/>
        <v>0.24317582994297166</v>
      </c>
      <c r="AG32">
        <f t="shared" si="16"/>
        <v>4.1122507949680465</v>
      </c>
    </row>
    <row r="33" spans="3:33" x14ac:dyDescent="0.25">
      <c r="C33" s="40" t="s">
        <v>127</v>
      </c>
      <c r="D33">
        <f t="shared" si="25"/>
        <v>119.78725073498427</v>
      </c>
      <c r="E33">
        <f t="shared" si="26"/>
        <v>36.520503272861063</v>
      </c>
      <c r="F33">
        <f t="shared" si="27"/>
        <v>0.63927482794292323</v>
      </c>
      <c r="G33">
        <f t="shared" si="28"/>
        <v>8.1810717863498625E-2</v>
      </c>
      <c r="H33">
        <f t="shared" si="29"/>
        <v>87.659796724953708</v>
      </c>
      <c r="I33" s="21">
        <f t="shared" si="30"/>
        <v>604.39326006734177</v>
      </c>
      <c r="J33">
        <f t="shared" si="31"/>
        <v>115.40451177708327</v>
      </c>
      <c r="K33" s="21">
        <f t="shared" si="32"/>
        <v>795.68641162016263</v>
      </c>
      <c r="L33">
        <f t="shared" si="33"/>
        <v>609.82618535785457</v>
      </c>
      <c r="M33">
        <f t="shared" si="34"/>
        <v>338.7923251988081</v>
      </c>
      <c r="N33">
        <f>L33-'Example 7.2 - Pipe P1'!$C$8</f>
        <v>150.15618535785455</v>
      </c>
      <c r="O33">
        <f>M33-'Example 7.2 - Pipe P1'!$C$9</f>
        <v>65.642325198808123</v>
      </c>
      <c r="P33">
        <f t="shared" si="35"/>
        <v>659.67000000000007</v>
      </c>
      <c r="Q33">
        <f t="shared" si="36"/>
        <v>366.48333333333335</v>
      </c>
      <c r="R33">
        <f>P33-'Example 7.2 - Pipe P1'!$C$8</f>
        <v>200.00000000000006</v>
      </c>
      <c r="S33">
        <f>Q33-'Example 7.2 - Pipe P1'!$C$9</f>
        <v>93.333333333333371</v>
      </c>
      <c r="T33">
        <f t="shared" si="37"/>
        <v>0.38796990474374415</v>
      </c>
      <c r="U33">
        <f t="shared" si="38"/>
        <v>6.214680400341476</v>
      </c>
      <c r="V33">
        <f t="shared" si="39"/>
        <v>1210.5953548130237</v>
      </c>
      <c r="W33">
        <f t="shared" si="40"/>
        <v>369.08394963811702</v>
      </c>
      <c r="X33">
        <f t="shared" si="41"/>
        <v>773.90313715659784</v>
      </c>
      <c r="Y33">
        <f t="shared" si="42"/>
        <v>235.94607840140179</v>
      </c>
      <c r="AA33">
        <f t="shared" si="10"/>
        <v>0.95818595742018786</v>
      </c>
      <c r="AB33">
        <f t="shared" si="11"/>
        <v>0.63927482794292323</v>
      </c>
      <c r="AC33">
        <f t="shared" si="12"/>
        <v>0.22251083416744075</v>
      </c>
      <c r="AD33">
        <f t="shared" si="13"/>
        <v>0.28851127944270816</v>
      </c>
      <c r="AE33">
        <f t="shared" si="14"/>
        <v>0.92847048874167304</v>
      </c>
      <c r="AF33">
        <f t="shared" si="15"/>
        <v>0.23965310353482822</v>
      </c>
      <c r="AG33">
        <f t="shared" si="16"/>
        <v>4.1726978922877676</v>
      </c>
    </row>
    <row r="34" spans="3:33" x14ac:dyDescent="0.25">
      <c r="C34" s="40" t="s">
        <v>127</v>
      </c>
      <c r="D34">
        <f t="shared" si="25"/>
        <v>120.21159816627242</v>
      </c>
      <c r="E34">
        <f t="shared" si="26"/>
        <v>36.649877489717205</v>
      </c>
      <c r="F34">
        <f t="shared" si="27"/>
        <v>0.64927482794292324</v>
      </c>
      <c r="G34">
        <f t="shared" si="28"/>
        <v>8.2499420368641496E-2</v>
      </c>
      <c r="H34">
        <f t="shared" si="29"/>
        <v>86.207050449414396</v>
      </c>
      <c r="I34" s="21">
        <f t="shared" si="30"/>
        <v>594.37692315660433</v>
      </c>
      <c r="J34">
        <f t="shared" si="31"/>
        <v>114.4411186282524</v>
      </c>
      <c r="K34" s="21">
        <f t="shared" si="32"/>
        <v>789.04404707332947</v>
      </c>
      <c r="L34">
        <f t="shared" si="33"/>
        <v>608.37680244991236</v>
      </c>
      <c r="M34">
        <f t="shared" si="34"/>
        <v>337.98711247217352</v>
      </c>
      <c r="N34">
        <f>L34-'Example 7.2 - Pipe P1'!$C$8</f>
        <v>148.70680244991235</v>
      </c>
      <c r="O34">
        <f>M34-'Example 7.2 - Pipe P1'!$C$9</f>
        <v>64.837112472173544</v>
      </c>
      <c r="P34">
        <f t="shared" si="35"/>
        <v>659.67000000000007</v>
      </c>
      <c r="Q34">
        <f t="shared" si="36"/>
        <v>366.48333333333335</v>
      </c>
      <c r="R34">
        <f>P34-'Example 7.2 - Pipe P1'!$C$8</f>
        <v>200.00000000000006</v>
      </c>
      <c r="S34">
        <f>Q34-'Example 7.2 - Pipe P1'!$C$9</f>
        <v>93.333333333333371</v>
      </c>
      <c r="T34">
        <f t="shared" si="37"/>
        <v>0.38244922722226615</v>
      </c>
      <c r="U34">
        <f t="shared" si="38"/>
        <v>6.1262476482907822</v>
      </c>
      <c r="V34">
        <f t="shared" si="39"/>
        <v>1209.1558790622282</v>
      </c>
      <c r="W34">
        <f t="shared" si="40"/>
        <v>368.64508507994765</v>
      </c>
      <c r="X34">
        <f t="shared" si="41"/>
        <v>785.07447533430229</v>
      </c>
      <c r="Y34">
        <f t="shared" si="42"/>
        <v>239.35197418728731</v>
      </c>
      <c r="AA34">
        <f t="shared" si="10"/>
        <v>0.9615803399377999</v>
      </c>
      <c r="AB34">
        <f t="shared" si="11"/>
        <v>0.64927482794292324</v>
      </c>
      <c r="AC34">
        <f t="shared" si="12"/>
        <v>0.21882326246774642</v>
      </c>
      <c r="AD34">
        <f t="shared" si="13"/>
        <v>0.28610279657063098</v>
      </c>
      <c r="AE34">
        <f t="shared" si="14"/>
        <v>0.92626377920833081</v>
      </c>
      <c r="AF34">
        <f t="shared" si="15"/>
        <v>0.23624292278250658</v>
      </c>
      <c r="AG34">
        <f t="shared" si="16"/>
        <v>4.232931036501923</v>
      </c>
    </row>
    <row r="35" spans="3:33" x14ac:dyDescent="0.25">
      <c r="C35" s="40" t="s">
        <v>127</v>
      </c>
      <c r="D35">
        <f t="shared" si="25"/>
        <v>120.60684017757679</v>
      </c>
      <c r="E35">
        <f t="shared" si="26"/>
        <v>36.770378102919757</v>
      </c>
      <c r="F35">
        <f t="shared" si="27"/>
        <v>0.65927482794292325</v>
      </c>
      <c r="G35">
        <f t="shared" si="28"/>
        <v>8.3166412689319416E-2</v>
      </c>
      <c r="H35">
        <f t="shared" si="29"/>
        <v>84.797174544832814</v>
      </c>
      <c r="I35" s="21">
        <f t="shared" si="30"/>
        <v>584.65616716473141</v>
      </c>
      <c r="J35">
        <f t="shared" si="31"/>
        <v>113.52330403427703</v>
      </c>
      <c r="K35" s="21">
        <f t="shared" si="32"/>
        <v>782.7159357233719</v>
      </c>
      <c r="L35">
        <f t="shared" si="33"/>
        <v>606.91195699137688</v>
      </c>
      <c r="M35">
        <f t="shared" si="34"/>
        <v>337.17330943965379</v>
      </c>
      <c r="N35">
        <f>L35-'Example 7.2 - Pipe P1'!$C$8</f>
        <v>147.24195699137687</v>
      </c>
      <c r="O35">
        <f>M35-'Example 7.2 - Pipe P1'!$C$9</f>
        <v>64.023309439653815</v>
      </c>
      <c r="P35">
        <f t="shared" si="35"/>
        <v>659.67000000000007</v>
      </c>
      <c r="Q35">
        <f t="shared" si="36"/>
        <v>366.48333333333335</v>
      </c>
      <c r="R35">
        <f>P35-'Example 7.2 - Pipe P1'!$C$8</f>
        <v>200.00000000000006</v>
      </c>
      <c r="S35">
        <f>Q35-'Example 7.2 - Pipe P1'!$C$9</f>
        <v>93.333333333333371</v>
      </c>
      <c r="T35">
        <f t="shared" si="37"/>
        <v>0.37710243399945881</v>
      </c>
      <c r="U35">
        <f t="shared" si="38"/>
        <v>6.0406002549229711</v>
      </c>
      <c r="V35">
        <f t="shared" si="39"/>
        <v>1207.6993031678062</v>
      </c>
      <c r="W35">
        <f t="shared" si="40"/>
        <v>368.20100706335558</v>
      </c>
      <c r="X35">
        <f t="shared" si="41"/>
        <v>796.2057503027437</v>
      </c>
      <c r="Y35">
        <f t="shared" si="42"/>
        <v>242.7456555801048</v>
      </c>
      <c r="AA35">
        <f t="shared" ref="AA35:AA70" si="43">D35/$D$70</f>
        <v>0.96474190632062151</v>
      </c>
      <c r="AB35">
        <f t="shared" ref="AB35:AB70" si="44">F35</f>
        <v>0.65927482794292325</v>
      </c>
      <c r="AC35">
        <f t="shared" ref="AC35:AC70" si="45">H35/$H$3</f>
        <v>0.21524451057324517</v>
      </c>
      <c r="AD35">
        <f t="shared" ref="AD35:AD70" si="46">J35/$J$3</f>
        <v>0.2838082600856926</v>
      </c>
      <c r="AE35">
        <f t="shared" ref="AE35:AE70" si="47">L35/$L$3</f>
        <v>0.92403352768507196</v>
      </c>
      <c r="AF35">
        <f t="shared" ref="AF35:AF70" si="48">T35/$T$3</f>
        <v>0.23294015219608413</v>
      </c>
      <c r="AG35">
        <f t="shared" ref="AG35:AG70" si="49">X35/$X$3</f>
        <v>4.2929481696149168</v>
      </c>
    </row>
    <row r="36" spans="3:33" x14ac:dyDescent="0.25">
      <c r="C36" s="40" t="s">
        <v>127</v>
      </c>
      <c r="D36">
        <f t="shared" si="25"/>
        <v>120.97489820253865</v>
      </c>
      <c r="E36">
        <f t="shared" si="26"/>
        <v>36.88259091540813</v>
      </c>
      <c r="F36">
        <f t="shared" si="27"/>
        <v>0.66927482794292326</v>
      </c>
      <c r="G36">
        <f t="shared" si="28"/>
        <v>8.381173508758076E-2</v>
      </c>
      <c r="H36">
        <f t="shared" si="29"/>
        <v>83.428261870166509</v>
      </c>
      <c r="I36" s="21">
        <f t="shared" si="30"/>
        <v>575.21784281194925</v>
      </c>
      <c r="J36">
        <f t="shared" si="31"/>
        <v>112.64921246772734</v>
      </c>
      <c r="K36" s="21">
        <f t="shared" si="32"/>
        <v>776.68928415398773</v>
      </c>
      <c r="L36">
        <f t="shared" si="33"/>
        <v>605.43192173044099</v>
      </c>
      <c r="M36">
        <f t="shared" si="34"/>
        <v>336.35106762802275</v>
      </c>
      <c r="N36">
        <f>L36-'Example 7.2 - Pipe P1'!$C$8</f>
        <v>145.76192173044097</v>
      </c>
      <c r="O36">
        <f>M36-'Example 7.2 - Pipe P1'!$C$9</f>
        <v>63.20106762802277</v>
      </c>
      <c r="P36">
        <f t="shared" si="35"/>
        <v>659.67000000000007</v>
      </c>
      <c r="Q36">
        <f t="shared" si="36"/>
        <v>366.48333333333335</v>
      </c>
      <c r="R36">
        <f>P36-'Example 7.2 - Pipe P1'!$C$8</f>
        <v>200.00000000000006</v>
      </c>
      <c r="S36">
        <f>Q36-'Example 7.2 - Pipe P1'!$C$9</f>
        <v>93.333333333333371</v>
      </c>
      <c r="T36">
        <f t="shared" si="37"/>
        <v>0.37192170799472274</v>
      </c>
      <c r="U36">
        <f t="shared" si="38"/>
        <v>5.9576130026451466</v>
      </c>
      <c r="V36">
        <f t="shared" si="39"/>
        <v>1206.2258368855084</v>
      </c>
      <c r="W36">
        <f t="shared" si="40"/>
        <v>367.75177953826477</v>
      </c>
      <c r="X36">
        <f t="shared" si="41"/>
        <v>807.29658944185724</v>
      </c>
      <c r="Y36">
        <f t="shared" si="42"/>
        <v>246.127008976176</v>
      </c>
      <c r="AA36">
        <f t="shared" si="43"/>
        <v>0.96768602624048261</v>
      </c>
      <c r="AB36">
        <f t="shared" si="44"/>
        <v>0.66927482794292326</v>
      </c>
      <c r="AC36">
        <f t="shared" si="45"/>
        <v>0.21176973750141037</v>
      </c>
      <c r="AD36">
        <f t="shared" si="46"/>
        <v>0.28162303116931836</v>
      </c>
      <c r="AE36">
        <f t="shared" si="47"/>
        <v>0.9217801494355472</v>
      </c>
      <c r="AF36">
        <f t="shared" si="48"/>
        <v>0.22973996308239847</v>
      </c>
      <c r="AG36">
        <f t="shared" si="49"/>
        <v>4.3527472825497924</v>
      </c>
    </row>
    <row r="37" spans="3:33" x14ac:dyDescent="0.25">
      <c r="C37" s="40" t="s">
        <v>127</v>
      </c>
      <c r="D37">
        <f t="shared" si="25"/>
        <v>121.31754790608325</v>
      </c>
      <c r="E37">
        <f t="shared" si="26"/>
        <v>36.98705728844002</v>
      </c>
      <c r="F37">
        <f t="shared" si="27"/>
        <v>0.67927482794292326</v>
      </c>
      <c r="G37">
        <f t="shared" si="28"/>
        <v>8.4435438326198556E-2</v>
      </c>
      <c r="H37">
        <f t="shared" si="29"/>
        <v>82.098517657841455</v>
      </c>
      <c r="I37" s="21">
        <f t="shared" si="30"/>
        <v>566.04957560657897</v>
      </c>
      <c r="J37">
        <f t="shared" si="31"/>
        <v>111.81710121164039</v>
      </c>
      <c r="K37" s="21">
        <f t="shared" si="32"/>
        <v>770.95207674996971</v>
      </c>
      <c r="L37">
        <f t="shared" si="33"/>
        <v>603.93697011886604</v>
      </c>
      <c r="M37">
        <f t="shared" si="34"/>
        <v>335.5205389549256</v>
      </c>
      <c r="N37">
        <f>L37-'Example 7.2 - Pipe P1'!$C$8</f>
        <v>144.26697011886603</v>
      </c>
      <c r="O37">
        <f>M37-'Example 7.2 - Pipe P1'!$C$9</f>
        <v>62.370538954925621</v>
      </c>
      <c r="P37">
        <f t="shared" si="35"/>
        <v>659.67000000000007</v>
      </c>
      <c r="Q37">
        <f t="shared" si="36"/>
        <v>366.48333333333335</v>
      </c>
      <c r="R37">
        <f>P37-'Example 7.2 - Pipe P1'!$C$8</f>
        <v>200.00000000000006</v>
      </c>
      <c r="S37">
        <f>Q37-'Example 7.2 - Pipe P1'!$C$9</f>
        <v>93.333333333333371</v>
      </c>
      <c r="T37">
        <f t="shared" si="37"/>
        <v>0.36689969224137209</v>
      </c>
      <c r="U37">
        <f t="shared" si="38"/>
        <v>5.8771680441807295</v>
      </c>
      <c r="V37">
        <f t="shared" si="39"/>
        <v>1204.7356909826754</v>
      </c>
      <c r="W37">
        <f t="shared" si="40"/>
        <v>367.29746676301079</v>
      </c>
      <c r="X37">
        <f t="shared" si="41"/>
        <v>818.34662920895562</v>
      </c>
      <c r="Y37">
        <f t="shared" si="42"/>
        <v>249.49592353931575</v>
      </c>
      <c r="AA37">
        <f t="shared" si="43"/>
        <v>0.97042690335583603</v>
      </c>
      <c r="AB37">
        <f t="shared" si="44"/>
        <v>0.67927482794292326</v>
      </c>
      <c r="AC37">
        <f t="shared" si="45"/>
        <v>0.20839438751238232</v>
      </c>
      <c r="AD37">
        <f t="shared" si="46"/>
        <v>0.27954275302910098</v>
      </c>
      <c r="AE37">
        <f t="shared" si="47"/>
        <v>0.91950406079460167</v>
      </c>
      <c r="AF37">
        <f t="shared" si="48"/>
        <v>0.22663781096550623</v>
      </c>
      <c r="AG37">
        <f t="shared" si="49"/>
        <v>4.4123264151726103</v>
      </c>
    </row>
    <row r="38" spans="3:33" x14ac:dyDescent="0.25">
      <c r="C38" s="40" t="s">
        <v>127</v>
      </c>
      <c r="D38">
        <f t="shared" si="25"/>
        <v>121.63643200332041</v>
      </c>
      <c r="E38">
        <f t="shared" si="26"/>
        <v>37.084278049792808</v>
      </c>
      <c r="F38">
        <f t="shared" si="27"/>
        <v>0.68927482794292327</v>
      </c>
      <c r="G38">
        <f t="shared" si="28"/>
        <v>8.5037583453754492E-2</v>
      </c>
      <c r="H38">
        <f t="shared" si="29"/>
        <v>80.80625135729872</v>
      </c>
      <c r="I38" s="21">
        <f t="shared" si="30"/>
        <v>557.13970960824895</v>
      </c>
      <c r="J38">
        <f t="shared" si="31"/>
        <v>111.02533220860147</v>
      </c>
      <c r="K38" s="21">
        <f t="shared" si="32"/>
        <v>765.49301949857704</v>
      </c>
      <c r="L38">
        <f t="shared" si="33"/>
        <v>602.42737620355763</v>
      </c>
      <c r="M38">
        <f t="shared" si="34"/>
        <v>334.6818756686431</v>
      </c>
      <c r="N38">
        <f>L38-'Example 7.2 - Pipe P1'!$C$8</f>
        <v>142.75737620355761</v>
      </c>
      <c r="O38">
        <f>M38-'Example 7.2 - Pipe P1'!$C$9</f>
        <v>61.531875668643124</v>
      </c>
      <c r="P38">
        <f t="shared" si="35"/>
        <v>659.67000000000007</v>
      </c>
      <c r="Q38">
        <f t="shared" si="36"/>
        <v>366.48333333333335</v>
      </c>
      <c r="R38">
        <f>P38-'Example 7.2 - Pipe P1'!$C$8</f>
        <v>200.00000000000006</v>
      </c>
      <c r="S38">
        <f>Q38-'Example 7.2 - Pipe P1'!$C$9</f>
        <v>93.333333333333371</v>
      </c>
      <c r="T38">
        <f t="shared" si="37"/>
        <v>0.3620294565149566</v>
      </c>
      <c r="U38">
        <f t="shared" si="38"/>
        <v>5.7991543680065725</v>
      </c>
      <c r="V38">
        <f t="shared" si="39"/>
        <v>1203.2290771655541</v>
      </c>
      <c r="W38">
        <f t="shared" si="40"/>
        <v>366.83813328218116</v>
      </c>
      <c r="X38">
        <f t="shared" si="41"/>
        <v>829.35551513920973</v>
      </c>
      <c r="Y38">
        <f t="shared" si="42"/>
        <v>252.85229120097858</v>
      </c>
      <c r="AA38">
        <f t="shared" si="43"/>
        <v>0.97297767785097211</v>
      </c>
      <c r="AB38">
        <f t="shared" si="44"/>
        <v>0.68927482794292327</v>
      </c>
      <c r="AC38">
        <f t="shared" si="45"/>
        <v>0.20511416940507313</v>
      </c>
      <c r="AD38">
        <f t="shared" si="46"/>
        <v>0.27756333052150367</v>
      </c>
      <c r="AE38">
        <f t="shared" si="47"/>
        <v>0.91720567900319772</v>
      </c>
      <c r="AF38">
        <f t="shared" si="48"/>
        <v>0.22362941497264544</v>
      </c>
      <c r="AG38">
        <f t="shared" si="49"/>
        <v>4.4716836562950384</v>
      </c>
    </row>
    <row r="39" spans="3:33" x14ac:dyDescent="0.25">
      <c r="C39" s="40" t="s">
        <v>127</v>
      </c>
      <c r="D39">
        <f t="shared" si="25"/>
        <v>121.93307179178576</v>
      </c>
      <c r="E39">
        <f t="shared" si="26"/>
        <v>37.174717009690781</v>
      </c>
      <c r="F39">
        <f t="shared" si="27"/>
        <v>0.69927482794292328</v>
      </c>
      <c r="G39">
        <f t="shared" si="28"/>
        <v>8.5618241583810775E-2</v>
      </c>
      <c r="H39">
        <f t="shared" si="29"/>
        <v>79.54986917842696</v>
      </c>
      <c r="I39" s="21">
        <f t="shared" si="30"/>
        <v>548.47725601665104</v>
      </c>
      <c r="J39">
        <f t="shared" si="31"/>
        <v>110.27236460968135</v>
      </c>
      <c r="K39" s="21">
        <f t="shared" si="32"/>
        <v>760.3014886162465</v>
      </c>
      <c r="L39">
        <f t="shared" si="33"/>
        <v>600.90341451940003</v>
      </c>
      <c r="M39">
        <f t="shared" si="34"/>
        <v>333.83523028855558</v>
      </c>
      <c r="N39">
        <f>L39-'Example 7.2 - Pipe P1'!$C$8</f>
        <v>141.23341451940001</v>
      </c>
      <c r="O39">
        <f>M39-'Example 7.2 - Pipe P1'!$C$9</f>
        <v>60.685230288555601</v>
      </c>
      <c r="P39">
        <f t="shared" si="35"/>
        <v>659.67000000000007</v>
      </c>
      <c r="Q39">
        <f t="shared" si="36"/>
        <v>366.48333333333335</v>
      </c>
      <c r="R39">
        <f>P39-'Example 7.2 - Pipe P1'!$C$8</f>
        <v>200.00000000000006</v>
      </c>
      <c r="S39">
        <f>Q39-'Example 7.2 - Pipe P1'!$C$9</f>
        <v>93.333333333333371</v>
      </c>
      <c r="T39">
        <f t="shared" si="37"/>
        <v>0.35730446682498029</v>
      </c>
      <c r="U39">
        <f t="shared" si="38"/>
        <v>5.7234673096572743</v>
      </c>
      <c r="V39">
        <f t="shared" si="39"/>
        <v>1201.7062080071623</v>
      </c>
      <c r="W39">
        <f t="shared" si="40"/>
        <v>366.37384390462267</v>
      </c>
      <c r="X39">
        <f t="shared" si="41"/>
        <v>840.32290184215117</v>
      </c>
      <c r="Y39">
        <f t="shared" si="42"/>
        <v>256.19600665919245</v>
      </c>
      <c r="AA39">
        <f t="shared" si="43"/>
        <v>0.97535051868316081</v>
      </c>
      <c r="AB39">
        <f t="shared" si="44"/>
        <v>0.69927482794292328</v>
      </c>
      <c r="AC39">
        <f t="shared" si="45"/>
        <v>0.20192503758982353</v>
      </c>
      <c r="AD39">
        <f t="shared" si="46"/>
        <v>0.27568091152420338</v>
      </c>
      <c r="AE39">
        <f t="shared" si="47"/>
        <v>0.91488542204525303</v>
      </c>
      <c r="AF39">
        <f t="shared" si="48"/>
        <v>0.22071073898894814</v>
      </c>
      <c r="AG39">
        <f t="shared" si="49"/>
        <v>4.5308171436554963</v>
      </c>
    </row>
    <row r="40" spans="3:33" x14ac:dyDescent="0.25">
      <c r="C40" s="40" t="s">
        <v>127</v>
      </c>
      <c r="D40">
        <f t="shared" si="25"/>
        <v>122.20887754201075</v>
      </c>
      <c r="E40">
        <f t="shared" si="26"/>
        <v>37.258804128661815</v>
      </c>
      <c r="F40">
        <f t="shared" si="27"/>
        <v>0.70927482794292329</v>
      </c>
      <c r="G40">
        <f t="shared" si="28"/>
        <v>8.6177493668581753E-2</v>
      </c>
      <c r="H40">
        <f t="shared" si="29"/>
        <v>78.327867265809701</v>
      </c>
      <c r="I40" s="21">
        <f t="shared" si="30"/>
        <v>540.05184610961408</v>
      </c>
      <c r="J40">
        <f t="shared" si="31"/>
        <v>109.55674795415692</v>
      </c>
      <c r="K40" s="21">
        <f t="shared" si="32"/>
        <v>755.36748352440293</v>
      </c>
      <c r="L40">
        <f t="shared" si="33"/>
        <v>599.36535998341424</v>
      </c>
      <c r="M40">
        <f t="shared" si="34"/>
        <v>332.98075554634124</v>
      </c>
      <c r="N40">
        <f>L40-'Example 7.2 - Pipe P1'!$C$8</f>
        <v>139.69535998341422</v>
      </c>
      <c r="O40">
        <f>M40-'Example 7.2 - Pipe P1'!$C$9</f>
        <v>59.830755546341265</v>
      </c>
      <c r="P40">
        <f t="shared" si="35"/>
        <v>659.67000000000007</v>
      </c>
      <c r="Q40">
        <f t="shared" si="36"/>
        <v>366.48333333333335</v>
      </c>
      <c r="R40">
        <f>P40-'Example 7.2 - Pipe P1'!$C$8</f>
        <v>200.00000000000006</v>
      </c>
      <c r="S40">
        <f>Q40-'Example 7.2 - Pipe P1'!$C$9</f>
        <v>93.333333333333371</v>
      </c>
      <c r="T40">
        <f t="shared" si="37"/>
        <v>0.35271855748741582</v>
      </c>
      <c r="U40">
        <f t="shared" si="38"/>
        <v>5.6500081043698716</v>
      </c>
      <c r="V40">
        <f t="shared" si="39"/>
        <v>1200.1672968757364</v>
      </c>
      <c r="W40">
        <f t="shared" si="40"/>
        <v>365.90466368162697</v>
      </c>
      <c r="X40">
        <f t="shared" si="41"/>
        <v>851.24845299426124</v>
      </c>
      <c r="Y40">
        <f t="shared" si="42"/>
        <v>259.52696737629918</v>
      </c>
      <c r="AA40">
        <f t="shared" si="43"/>
        <v>0.97755670669749295</v>
      </c>
      <c r="AB40">
        <f t="shared" si="44"/>
        <v>0.70927482794292329</v>
      </c>
      <c r="AC40">
        <f t="shared" si="45"/>
        <v>0.19882317476228548</v>
      </c>
      <c r="AD40">
        <f t="shared" si="46"/>
        <v>0.27389186988539227</v>
      </c>
      <c r="AE40">
        <f t="shared" si="47"/>
        <v>0.91254370848649524</v>
      </c>
      <c r="AF40">
        <f t="shared" si="48"/>
        <v>0.2178779744063381</v>
      </c>
      <c r="AG40">
        <f t="shared" si="49"/>
        <v>4.5897250638791958</v>
      </c>
    </row>
    <row r="41" spans="3:33" x14ac:dyDescent="0.25">
      <c r="C41" s="40" t="s">
        <v>127</v>
      </c>
      <c r="D41">
        <f t="shared" si="25"/>
        <v>122.46515787332078</v>
      </c>
      <c r="E41">
        <f t="shared" si="26"/>
        <v>37.336938376012434</v>
      </c>
      <c r="F41">
        <f t="shared" si="27"/>
        <v>0.7192748279429233</v>
      </c>
      <c r="G41">
        <f t="shared" si="28"/>
        <v>8.6715430267512522E-2</v>
      </c>
      <c r="H41">
        <f t="shared" si="29"/>
        <v>77.138825442399323</v>
      </c>
      <c r="I41" s="21">
        <f t="shared" si="30"/>
        <v>531.85368810723719</v>
      </c>
      <c r="J41">
        <f t="shared" si="31"/>
        <v>108.87711591862916</v>
      </c>
      <c r="K41" s="21">
        <f t="shared" si="32"/>
        <v>750.6815837511275</v>
      </c>
      <c r="L41">
        <f t="shared" si="33"/>
        <v>597.81348779029361</v>
      </c>
      <c r="M41">
        <f t="shared" si="34"/>
        <v>332.11860432794089</v>
      </c>
      <c r="N41">
        <f>L41-'Example 7.2 - Pipe P1'!$C$8</f>
        <v>138.14348779029359</v>
      </c>
      <c r="O41">
        <f>M41-'Example 7.2 - Pipe P1'!$C$9</f>
        <v>58.968604327940909</v>
      </c>
      <c r="P41">
        <f t="shared" si="35"/>
        <v>659.67000000000007</v>
      </c>
      <c r="Q41">
        <f t="shared" si="36"/>
        <v>366.48333333333335</v>
      </c>
      <c r="R41">
        <f>P41-'Example 7.2 - Pipe P1'!$C$8</f>
        <v>200.00000000000006</v>
      </c>
      <c r="S41">
        <f>Q41-'Example 7.2 - Pipe P1'!$C$9</f>
        <v>93.333333333333371</v>
      </c>
      <c r="T41">
        <f t="shared" si="37"/>
        <v>0.34826590552685327</v>
      </c>
      <c r="U41">
        <f t="shared" si="38"/>
        <v>5.5786834770456784</v>
      </c>
      <c r="V41">
        <f t="shared" si="39"/>
        <v>1198.6125578638046</v>
      </c>
      <c r="W41">
        <f t="shared" si="40"/>
        <v>365.43065788530629</v>
      </c>
      <c r="X41">
        <f t="shared" si="41"/>
        <v>862.13184132771528</v>
      </c>
      <c r="Y41">
        <f t="shared" si="42"/>
        <v>262.84507357552297</v>
      </c>
      <c r="AA41">
        <f t="shared" si="43"/>
        <v>0.97960670962449514</v>
      </c>
      <c r="AB41">
        <f t="shared" si="44"/>
        <v>0.7192748279429233</v>
      </c>
      <c r="AC41">
        <f t="shared" si="45"/>
        <v>0.19580497602270636</v>
      </c>
      <c r="AD41">
        <f t="shared" si="46"/>
        <v>0.27219278979657291</v>
      </c>
      <c r="AE41">
        <f t="shared" si="47"/>
        <v>0.91018095731541226</v>
      </c>
      <c r="AF41">
        <f t="shared" si="48"/>
        <v>0.21512752431146778</v>
      </c>
      <c r="AG41">
        <f t="shared" si="49"/>
        <v>4.6484056524174537</v>
      </c>
    </row>
    <row r="42" spans="3:33" x14ac:dyDescent="0.25">
      <c r="C42" s="40" t="s">
        <v>127</v>
      </c>
      <c r="D42">
        <f t="shared" si="25"/>
        <v>122.70312822614245</v>
      </c>
      <c r="E42">
        <f t="shared" si="26"/>
        <v>37.409490312848312</v>
      </c>
      <c r="F42">
        <f t="shared" si="27"/>
        <v>0.72927482794292331</v>
      </c>
      <c r="G42">
        <f t="shared" si="28"/>
        <v>8.7232151311173275E-2</v>
      </c>
      <c r="H42">
        <f t="shared" si="29"/>
        <v>75.981401467962471</v>
      </c>
      <c r="I42" s="21">
        <f t="shared" si="30"/>
        <v>523.87352758524889</v>
      </c>
      <c r="J42">
        <f t="shared" si="31"/>
        <v>108.23218058088241</v>
      </c>
      <c r="K42" s="21">
        <f t="shared" si="32"/>
        <v>746.23490938184477</v>
      </c>
      <c r="L42">
        <f t="shared" si="33"/>
        <v>596.24807330937415</v>
      </c>
      <c r="M42">
        <f t="shared" si="34"/>
        <v>331.24892961631895</v>
      </c>
      <c r="N42">
        <f>L42-'Example 7.2 - Pipe P1'!$C$8</f>
        <v>136.57807330937413</v>
      </c>
      <c r="O42">
        <f>M42-'Example 7.2 - Pipe P1'!$C$9</f>
        <v>58.098929616318969</v>
      </c>
      <c r="P42">
        <f t="shared" si="35"/>
        <v>659.67000000000007</v>
      </c>
      <c r="Q42">
        <f t="shared" si="36"/>
        <v>366.48333333333335</v>
      </c>
      <c r="R42">
        <f>P42-'Example 7.2 - Pipe P1'!$C$8</f>
        <v>200.00000000000006</v>
      </c>
      <c r="S42">
        <f>Q42-'Example 7.2 - Pipe P1'!$C$9</f>
        <v>93.333333333333371</v>
      </c>
      <c r="T42">
        <f t="shared" si="37"/>
        <v>0.34394100718466453</v>
      </c>
      <c r="U42">
        <f t="shared" si="38"/>
        <v>5.5094052659472617</v>
      </c>
      <c r="V42">
        <f t="shared" si="39"/>
        <v>1197.0422057179217</v>
      </c>
      <c r="W42">
        <f t="shared" si="40"/>
        <v>364.95189198717128</v>
      </c>
      <c r="X42">
        <f t="shared" si="41"/>
        <v>872.9727486153547</v>
      </c>
      <c r="Y42">
        <f t="shared" si="42"/>
        <v>266.15022823638867</v>
      </c>
      <c r="AA42">
        <f t="shared" si="43"/>
        <v>0.9815102498506626</v>
      </c>
      <c r="AB42">
        <f t="shared" si="44"/>
        <v>0.72927482794292331</v>
      </c>
      <c r="AC42">
        <f t="shared" si="45"/>
        <v>0.19286703430188068</v>
      </c>
      <c r="AD42">
        <f t="shared" si="46"/>
        <v>0.27058045145220605</v>
      </c>
      <c r="AE42">
        <f t="shared" si="47"/>
        <v>0.90779758778638864</v>
      </c>
      <c r="AF42">
        <f t="shared" si="48"/>
        <v>0.21245598897456386</v>
      </c>
      <c r="AG42">
        <f t="shared" si="49"/>
        <v>4.7068571934666616</v>
      </c>
    </row>
    <row r="43" spans="3:33" x14ac:dyDescent="0.25">
      <c r="C43" s="40" t="s">
        <v>127</v>
      </c>
      <c r="D43">
        <f t="shared" si="25"/>
        <v>122.92391852858633</v>
      </c>
      <c r="E43">
        <f t="shared" si="26"/>
        <v>37.47680442944705</v>
      </c>
      <c r="F43">
        <f t="shared" si="27"/>
        <v>0.73927482794292332</v>
      </c>
      <c r="G43">
        <f t="shared" si="28"/>
        <v>8.7727765860871235E-2</v>
      </c>
      <c r="H43">
        <f t="shared" si="29"/>
        <v>74.854325763557227</v>
      </c>
      <c r="I43" s="21">
        <f t="shared" si="30"/>
        <v>516.10261110154386</v>
      </c>
      <c r="J43">
        <f t="shared" si="31"/>
        <v>107.62072714974758</v>
      </c>
      <c r="K43" s="21">
        <f t="shared" si="32"/>
        <v>742.01908472299363</v>
      </c>
      <c r="L43">
        <f t="shared" si="33"/>
        <v>594.66939198309115</v>
      </c>
      <c r="M43">
        <f t="shared" si="34"/>
        <v>330.37188443505062</v>
      </c>
      <c r="N43">
        <f>L43-'Example 7.2 - Pipe P1'!$C$8</f>
        <v>134.99939198309113</v>
      </c>
      <c r="O43">
        <f>M43-'Example 7.2 - Pipe P1'!$C$9</f>
        <v>57.22188443505064</v>
      </c>
      <c r="P43">
        <f t="shared" si="35"/>
        <v>659.67000000000007</v>
      </c>
      <c r="Q43">
        <f t="shared" si="36"/>
        <v>366.48333333333335</v>
      </c>
      <c r="R43">
        <f>P43-'Example 7.2 - Pipe P1'!$C$8</f>
        <v>200.00000000000006</v>
      </c>
      <c r="S43">
        <f>Q43-'Example 7.2 - Pipe P1'!$C$9</f>
        <v>93.333333333333371</v>
      </c>
      <c r="T43">
        <f t="shared" si="37"/>
        <v>0.33973865633377365</v>
      </c>
      <c r="U43">
        <f t="shared" si="38"/>
        <v>5.4420900769363003</v>
      </c>
      <c r="V43">
        <f t="shared" si="39"/>
        <v>1195.456455769091</v>
      </c>
      <c r="W43">
        <f t="shared" si="40"/>
        <v>364.46843163691801</v>
      </c>
      <c r="X43">
        <f t="shared" si="41"/>
        <v>883.77086565195168</v>
      </c>
      <c r="Y43">
        <f t="shared" si="42"/>
        <v>269.4423370890097</v>
      </c>
      <c r="AA43">
        <f t="shared" si="43"/>
        <v>0.98327636574395016</v>
      </c>
      <c r="AB43">
        <f t="shared" si="44"/>
        <v>0.73927482794292332</v>
      </c>
      <c r="AC43">
        <f t="shared" si="45"/>
        <v>0.19000612697005162</v>
      </c>
      <c r="AD43">
        <f t="shared" si="46"/>
        <v>0.26905181787436894</v>
      </c>
      <c r="AE43">
        <f t="shared" si="47"/>
        <v>0.90539401926510388</v>
      </c>
      <c r="AF43">
        <f t="shared" si="48"/>
        <v>0.20986015251600293</v>
      </c>
      <c r="AG43">
        <f t="shared" si="49"/>
        <v>4.7650780198672757</v>
      </c>
    </row>
    <row r="44" spans="3:33" x14ac:dyDescent="0.25">
      <c r="C44" s="40" t="s">
        <v>127</v>
      </c>
      <c r="D44">
        <f t="shared" si="25"/>
        <v>123.12858014335467</v>
      </c>
      <c r="E44">
        <f t="shared" si="26"/>
        <v>37.53920126321789</v>
      </c>
      <c r="F44">
        <f t="shared" si="27"/>
        <v>0.74927482794292333</v>
      </c>
      <c r="G44">
        <f t="shared" si="28"/>
        <v>8.820239186438264E-2</v>
      </c>
      <c r="H44">
        <f t="shared" si="29"/>
        <v>73.756396558505301</v>
      </c>
      <c r="I44" s="21">
        <f t="shared" si="30"/>
        <v>508.53265273571998</v>
      </c>
      <c r="J44">
        <f t="shared" si="31"/>
        <v>107.04160911743146</v>
      </c>
      <c r="K44" s="21">
        <f t="shared" si="32"/>
        <v>738.02620487850174</v>
      </c>
      <c r="L44">
        <f t="shared" si="33"/>
        <v>593.07771922697191</v>
      </c>
      <c r="M44">
        <f t="shared" si="34"/>
        <v>329.48762179276218</v>
      </c>
      <c r="N44">
        <f>L44-'Example 7.2 - Pipe P1'!$C$8</f>
        <v>133.40771922697189</v>
      </c>
      <c r="O44">
        <f>M44-'Example 7.2 - Pipe P1'!$C$9</f>
        <v>56.337621792762206</v>
      </c>
      <c r="P44">
        <f t="shared" si="35"/>
        <v>659.67000000000007</v>
      </c>
      <c r="Q44">
        <f t="shared" si="36"/>
        <v>366.48333333333335</v>
      </c>
      <c r="R44">
        <f>P44-'Example 7.2 - Pipe P1'!$C$8</f>
        <v>200.00000000000006</v>
      </c>
      <c r="S44">
        <f>Q44-'Example 7.2 - Pipe P1'!$C$9</f>
        <v>93.333333333333371</v>
      </c>
      <c r="T44">
        <f t="shared" si="37"/>
        <v>0.33565392462190369</v>
      </c>
      <c r="U44">
        <f t="shared" si="38"/>
        <v>5.3766589653989794</v>
      </c>
      <c r="V44">
        <f t="shared" si="39"/>
        <v>1193.8555238639217</v>
      </c>
      <c r="W44">
        <f t="shared" si="40"/>
        <v>363.98034264143956</v>
      </c>
      <c r="X44">
        <f t="shared" si="41"/>
        <v>894.5258922318485</v>
      </c>
      <c r="Y44">
        <f t="shared" si="42"/>
        <v>272.72130860727088</v>
      </c>
      <c r="AA44">
        <f t="shared" si="43"/>
        <v>0.98491346722253592</v>
      </c>
      <c r="AB44">
        <f t="shared" si="44"/>
        <v>0.74927482794292333</v>
      </c>
      <c r="AC44">
        <f t="shared" si="45"/>
        <v>0.18721920351825042</v>
      </c>
      <c r="AD44">
        <f t="shared" si="46"/>
        <v>0.26760402279357864</v>
      </c>
      <c r="AE44">
        <f t="shared" si="47"/>
        <v>0.90297067107626938</v>
      </c>
      <c r="AF44">
        <f t="shared" si="48"/>
        <v>0.20733697064058568</v>
      </c>
      <c r="AG44">
        <f t="shared" si="49"/>
        <v>4.8230665129832477</v>
      </c>
    </row>
    <row r="45" spans="3:33" x14ac:dyDescent="0.25">
      <c r="C45" s="40" t="s">
        <v>127</v>
      </c>
      <c r="D45">
        <f t="shared" si="25"/>
        <v>123.31809217084418</v>
      </c>
      <c r="E45">
        <f t="shared" si="26"/>
        <v>37.596979320379326</v>
      </c>
      <c r="F45">
        <f t="shared" si="27"/>
        <v>0.75927482794292334</v>
      </c>
      <c r="G45">
        <f t="shared" si="28"/>
        <v>8.8656155908199724E-2</v>
      </c>
      <c r="H45">
        <f t="shared" si="29"/>
        <v>72.686475420910512</v>
      </c>
      <c r="I45" s="21">
        <f t="shared" si="30"/>
        <v>501.15580327307697</v>
      </c>
      <c r="J45">
        <f t="shared" si="31"/>
        <v>106.49374379536509</v>
      </c>
      <c r="K45" s="21">
        <f t="shared" si="32"/>
        <v>734.24880497053141</v>
      </c>
      <c r="L45">
        <f t="shared" si="33"/>
        <v>591.47333033121379</v>
      </c>
      <c r="M45">
        <f t="shared" si="34"/>
        <v>328.59629462845209</v>
      </c>
      <c r="N45">
        <f>L45-'Example 7.2 - Pipe P1'!$C$8</f>
        <v>131.80333033121377</v>
      </c>
      <c r="O45">
        <f>M45-'Example 7.2 - Pipe P1'!$C$9</f>
        <v>55.446294628452108</v>
      </c>
      <c r="P45">
        <f t="shared" si="35"/>
        <v>659.67000000000007</v>
      </c>
      <c r="Q45">
        <f t="shared" si="36"/>
        <v>366.48333333333335</v>
      </c>
      <c r="R45">
        <f>P45-'Example 7.2 - Pipe P1'!$C$8</f>
        <v>200.00000000000006</v>
      </c>
      <c r="S45">
        <f>Q45-'Example 7.2 - Pipe P1'!$C$9</f>
        <v>93.333333333333371</v>
      </c>
      <c r="T45">
        <f t="shared" si="37"/>
        <v>0.33168214318394884</v>
      </c>
      <c r="U45">
        <f t="shared" si="38"/>
        <v>5.3130371433063575</v>
      </c>
      <c r="V45">
        <f t="shared" si="39"/>
        <v>1192.2396262965419</v>
      </c>
      <c r="W45">
        <f t="shared" si="40"/>
        <v>363.48769094406771</v>
      </c>
      <c r="X45">
        <f t="shared" si="41"/>
        <v>905.2375371230421</v>
      </c>
      <c r="Y45">
        <f t="shared" si="42"/>
        <v>275.98705400092751</v>
      </c>
      <c r="AA45">
        <f t="shared" si="43"/>
        <v>0.98642938617374731</v>
      </c>
      <c r="AB45">
        <f t="shared" si="44"/>
        <v>0.75927482794292334</v>
      </c>
      <c r="AC45">
        <f t="shared" si="45"/>
        <v>0.18450337421320911</v>
      </c>
      <c r="AD45">
        <f t="shared" si="46"/>
        <v>0.26623435948841273</v>
      </c>
      <c r="AE45">
        <f t="shared" si="47"/>
        <v>0.90052796235377963</v>
      </c>
      <c r="AF45">
        <f t="shared" si="48"/>
        <v>0.20488355934107624</v>
      </c>
      <c r="AG45">
        <f t="shared" si="49"/>
        <v>4.8808211025622983</v>
      </c>
    </row>
    <row r="46" spans="3:33" x14ac:dyDescent="0.25">
      <c r="C46" s="40" t="s">
        <v>127</v>
      </c>
      <c r="D46">
        <f t="shared" ref="D46:D70" si="50">(1/Gam*(1/M_3^2-1/F46^2)+(Gam+1)/2/Gam*LN((M_3^2/F46^2)*(1+F46^2*(Gam-1)/2)/(1+M_3^2*(Gam-1)/2)))*D/f+L</f>
        <v>123.49336717545305</v>
      </c>
      <c r="E46">
        <f t="shared" ref="E46:E77" si="51">D46/3.28</f>
        <v>37.650416821784468</v>
      </c>
      <c r="F46">
        <f t="shared" ref="F46:F69" si="52">F45+0.01</f>
        <v>0.76927482794292334</v>
      </c>
      <c r="G46">
        <f t="shared" ref="G46:G77" si="53">(Gam/Z/Rg)^0.5*F46*(1+F46^2*(Gam-1)/2)^(-(Gam+1)/2/(Gam-1))</f>
        <v>8.9089192966684688E-2</v>
      </c>
      <c r="H46">
        <f t="shared" ref="H46:H70" si="54">J46/(1+(Gam-1)/2*F46^2)^(Gam/(Gam-1))</f>
        <v>71.643483136824202</v>
      </c>
      <c r="I46" s="21">
        <f t="shared" ref="I46:I77" si="55">H46*6.89476</f>
        <v>493.96462179245003</v>
      </c>
      <c r="J46">
        <f t="shared" ref="J46:J70" si="56">mdot*P46^0.5/A/G46/gc^0.5/144</f>
        <v>105.97610819867221</v>
      </c>
      <c r="K46" s="21">
        <f t="shared" ref="K46:K77" si="57">J46*6.89476</f>
        <v>730.67983176387713</v>
      </c>
      <c r="L46">
        <f t="shared" ref="L46:L70" si="58">P46/(1+(Gam-1)/2*F46^2)</f>
        <v>589.85650036388893</v>
      </c>
      <c r="M46">
        <f t="shared" ref="M46:M77" si="59">L46/1.8</f>
        <v>327.69805575771608</v>
      </c>
      <c r="N46">
        <f>L46-'Example 7.2 - Pipe P1'!$C$8</f>
        <v>130.18650036388891</v>
      </c>
      <c r="O46">
        <f>M46-'Example 7.2 - Pipe P1'!$C$9</f>
        <v>54.548055757716099</v>
      </c>
      <c r="P46">
        <f t="shared" ref="P46:P70" si="60">P45</f>
        <v>659.67000000000007</v>
      </c>
      <c r="Q46">
        <f t="shared" ref="Q46:Q70" si="61">Q45</f>
        <v>366.48333333333335</v>
      </c>
      <c r="R46">
        <f>P46-'Example 7.2 - Pipe P1'!$C$8</f>
        <v>200.00000000000006</v>
      </c>
      <c r="S46">
        <f>Q46-'Example 7.2 - Pipe P1'!$C$9</f>
        <v>93.333333333333371</v>
      </c>
      <c r="T46">
        <f t="shared" ref="T46:T70" si="62">H46/L46/Rg/Z*144</f>
        <v>0.32781888578068608</v>
      </c>
      <c r="U46">
        <f t="shared" ref="U46:U77" si="63">T46*16.01846</f>
        <v>5.2511537091224891</v>
      </c>
      <c r="V46">
        <f t="shared" ref="V46:V70" si="64">(Gam*H46/T46*gc*144)^0.5</f>
        <v>1190.608979741301</v>
      </c>
      <c r="W46">
        <f t="shared" ref="W46:W77" si="65">V46/3.28</f>
        <v>362.99054260405524</v>
      </c>
      <c r="X46">
        <f t="shared" ref="X46:X70" si="66">F46*V46</f>
        <v>915.90551803778885</v>
      </c>
      <c r="Y46">
        <f t="shared" ref="Y46:Y77" si="67">X46/3.28</f>
        <v>279.23948720664293</v>
      </c>
      <c r="AA46">
        <f t="shared" si="43"/>
        <v>0.98783142225916132</v>
      </c>
      <c r="AB46">
        <f t="shared" si="44"/>
        <v>0.76927482794292334</v>
      </c>
      <c r="AC46">
        <f t="shared" si="45"/>
        <v>0.18185589963725923</v>
      </c>
      <c r="AD46">
        <f t="shared" si="46"/>
        <v>0.26494027049668051</v>
      </c>
      <c r="AE46">
        <f t="shared" si="47"/>
        <v>0.89806631189333996</v>
      </c>
      <c r="AF46">
        <f t="shared" si="48"/>
        <v>0.20249718448280637</v>
      </c>
      <c r="AG46">
        <f t="shared" si="49"/>
        <v>4.9383402665774225</v>
      </c>
    </row>
    <row r="47" spans="3:33" x14ac:dyDescent="0.25">
      <c r="C47" s="40" t="s">
        <v>127</v>
      </c>
      <c r="D47">
        <f t="shared" si="50"/>
        <v>123.65525639437476</v>
      </c>
      <c r="E47">
        <f t="shared" si="51"/>
        <v>37.699773290967919</v>
      </c>
      <c r="F47">
        <f t="shared" si="52"/>
        <v>0.77927482794292335</v>
      </c>
      <c r="G47">
        <f t="shared" si="53"/>
        <v>8.9501646148516703E-2</v>
      </c>
      <c r="H47">
        <f t="shared" si="54"/>
        <v>70.626395906741806</v>
      </c>
      <c r="I47" s="21">
        <f t="shared" si="55"/>
        <v>486.95204944196712</v>
      </c>
      <c r="J47">
        <f t="shared" si="56"/>
        <v>105.48773524794252</v>
      </c>
      <c r="K47" s="21">
        <f t="shared" si="57"/>
        <v>727.31261747810413</v>
      </c>
      <c r="L47">
        <f t="shared" si="58"/>
        <v>588.22750407582157</v>
      </c>
      <c r="M47">
        <f t="shared" si="59"/>
        <v>326.79305781990087</v>
      </c>
      <c r="N47">
        <f>L47-'Example 7.2 - Pipe P1'!$C$8</f>
        <v>128.55750407582156</v>
      </c>
      <c r="O47">
        <f>M47-'Example 7.2 - Pipe P1'!$C$9</f>
        <v>53.643057819900889</v>
      </c>
      <c r="P47">
        <f t="shared" si="60"/>
        <v>659.67000000000007</v>
      </c>
      <c r="Q47">
        <f t="shared" si="61"/>
        <v>366.48333333333335</v>
      </c>
      <c r="R47">
        <f>P47-'Example 7.2 - Pipe P1'!$C$8</f>
        <v>200.00000000000006</v>
      </c>
      <c r="S47">
        <f>Q47-'Example 7.2 - Pipe P1'!$C$9</f>
        <v>93.333333333333371</v>
      </c>
      <c r="T47">
        <f t="shared" si="62"/>
        <v>0.32405995323570036</v>
      </c>
      <c r="U47">
        <f t="shared" si="63"/>
        <v>5.1909413985079373</v>
      </c>
      <c r="V47">
        <f t="shared" si="64"/>
        <v>1188.9638011862965</v>
      </c>
      <c r="W47">
        <f t="shared" si="65"/>
        <v>362.4889637763099</v>
      </c>
      <c r="X47">
        <f t="shared" si="66"/>
        <v>926.52956159981534</v>
      </c>
      <c r="Y47">
        <f t="shared" si="67"/>
        <v>282.47852487799247</v>
      </c>
      <c r="AA47">
        <f t="shared" si="43"/>
        <v>0.98912638458008217</v>
      </c>
      <c r="AB47">
        <f t="shared" si="44"/>
        <v>0.77927482794292335</v>
      </c>
      <c r="AC47">
        <f t="shared" si="45"/>
        <v>0.17927418103372678</v>
      </c>
      <c r="AD47">
        <f t="shared" si="46"/>
        <v>0.26371933811985632</v>
      </c>
      <c r="AE47">
        <f t="shared" si="47"/>
        <v>0.89558613800764053</v>
      </c>
      <c r="AF47">
        <f t="shared" si="48"/>
        <v>0.20017525219020008</v>
      </c>
      <c r="AG47">
        <f t="shared" si="49"/>
        <v>4.9956225310501035</v>
      </c>
    </row>
    <row r="48" spans="3:33" x14ac:dyDescent="0.25">
      <c r="C48" s="40" t="s">
        <v>127</v>
      </c>
      <c r="D48">
        <f t="shared" si="50"/>
        <v>123.80455448140989</v>
      </c>
      <c r="E48">
        <f t="shared" si="51"/>
        <v>37.745291000429852</v>
      </c>
      <c r="F48">
        <f t="shared" si="52"/>
        <v>0.78927482794292336</v>
      </c>
      <c r="G48">
        <f t="shared" si="53"/>
        <v>8.9893666440811454E-2</v>
      </c>
      <c r="H48">
        <f t="shared" si="54"/>
        <v>69.634241831288122</v>
      </c>
      <c r="I48" s="21">
        <f t="shared" si="55"/>
        <v>480.11138520869207</v>
      </c>
      <c r="J48">
        <f t="shared" si="56"/>
        <v>105.02771026016836</v>
      </c>
      <c r="K48" s="21">
        <f t="shared" si="57"/>
        <v>724.14085559339844</v>
      </c>
      <c r="L48">
        <f t="shared" si="58"/>
        <v>586.58661580717535</v>
      </c>
      <c r="M48">
        <f t="shared" si="59"/>
        <v>325.88145322620852</v>
      </c>
      <c r="N48">
        <f>L48-'Example 7.2 - Pipe P1'!$C$8</f>
        <v>126.91661580717533</v>
      </c>
      <c r="O48">
        <f>M48-'Example 7.2 - Pipe P1'!$C$9</f>
        <v>52.731453226208544</v>
      </c>
      <c r="P48">
        <f t="shared" si="60"/>
        <v>659.67000000000007</v>
      </c>
      <c r="Q48">
        <f t="shared" si="61"/>
        <v>366.48333333333335</v>
      </c>
      <c r="R48">
        <f>P48-'Example 7.2 - Pipe P1'!$C$8</f>
        <v>200.00000000000006</v>
      </c>
      <c r="S48">
        <f>Q48-'Example 7.2 - Pipe P1'!$C$9</f>
        <v>93.333333333333371</v>
      </c>
      <c r="T48">
        <f t="shared" si="62"/>
        <v>0.32040135905538503</v>
      </c>
      <c r="U48">
        <f t="shared" si="63"/>
        <v>5.1323363539743232</v>
      </c>
      <c r="V48">
        <f t="shared" si="64"/>
        <v>1187.3043078677445</v>
      </c>
      <c r="W48">
        <f t="shared" si="65"/>
        <v>361.98302069138555</v>
      </c>
      <c r="X48">
        <f t="shared" si="66"/>
        <v>937.10940330820574</v>
      </c>
      <c r="Y48">
        <f t="shared" si="67"/>
        <v>285.70408637445297</v>
      </c>
      <c r="AA48">
        <f t="shared" si="43"/>
        <v>0.99032062962359901</v>
      </c>
      <c r="AB48">
        <f t="shared" si="44"/>
        <v>0.78927482794292336</v>
      </c>
      <c r="AC48">
        <f t="shared" si="45"/>
        <v>0.17675575138638788</v>
      </c>
      <c r="AD48">
        <f t="shared" si="46"/>
        <v>0.26256927565042093</v>
      </c>
      <c r="AE48">
        <f t="shared" si="47"/>
        <v>0.89308785838413374</v>
      </c>
      <c r="AF48">
        <f t="shared" si="48"/>
        <v>0.19791529996409593</v>
      </c>
      <c r="AG48">
        <f t="shared" si="49"/>
        <v>5.0526664698555948</v>
      </c>
    </row>
    <row r="49" spans="3:33" x14ac:dyDescent="0.25">
      <c r="C49" s="40" t="s">
        <v>127</v>
      </c>
      <c r="D49">
        <f t="shared" si="50"/>
        <v>123.94200383241846</v>
      </c>
      <c r="E49">
        <f t="shared" si="51"/>
        <v>37.787196290371483</v>
      </c>
      <c r="F49">
        <f t="shared" si="52"/>
        <v>0.79927482794292337</v>
      </c>
      <c r="G49">
        <f t="shared" si="53"/>
        <v>9.0265412451287205E-2</v>
      </c>
      <c r="H49">
        <f t="shared" si="54"/>
        <v>68.666097660766169</v>
      </c>
      <c r="I49" s="21">
        <f t="shared" si="55"/>
        <v>473.43626350754414</v>
      </c>
      <c r="J49">
        <f t="shared" si="56"/>
        <v>104.59516770351973</v>
      </c>
      <c r="K49" s="21">
        <f t="shared" si="57"/>
        <v>721.15857847551968</v>
      </c>
      <c r="L49">
        <f t="shared" si="58"/>
        <v>584.93410939578814</v>
      </c>
      <c r="M49">
        <f t="shared" si="59"/>
        <v>324.96339410877118</v>
      </c>
      <c r="N49">
        <f>L49-'Example 7.2 - Pipe P1'!$C$8</f>
        <v>125.26410939578813</v>
      </c>
      <c r="O49">
        <f>M49-'Example 7.2 - Pipe P1'!$C$9</f>
        <v>51.813394108771206</v>
      </c>
      <c r="P49">
        <f t="shared" si="60"/>
        <v>659.67000000000007</v>
      </c>
      <c r="Q49">
        <f t="shared" si="61"/>
        <v>366.48333333333335</v>
      </c>
      <c r="R49">
        <f>P49-'Example 7.2 - Pipe P1'!$C$8</f>
        <v>200.00000000000006</v>
      </c>
      <c r="S49">
        <f>Q49-'Example 7.2 - Pipe P1'!$C$9</f>
        <v>93.333333333333371</v>
      </c>
      <c r="T49">
        <f t="shared" si="62"/>
        <v>0.31683931612840344</v>
      </c>
      <c r="U49">
        <f t="shared" si="63"/>
        <v>5.0752779118301854</v>
      </c>
      <c r="V49">
        <f t="shared" si="64"/>
        <v>1185.6307172052304</v>
      </c>
      <c r="W49">
        <f t="shared" si="65"/>
        <v>361.47277963574101</v>
      </c>
      <c r="X49">
        <f t="shared" si="66"/>
        <v>947.64478749805539</v>
      </c>
      <c r="Y49">
        <f t="shared" si="67"/>
        <v>288.91609374940714</v>
      </c>
      <c r="AA49">
        <f t="shared" si="43"/>
        <v>0.99142009586215818</v>
      </c>
      <c r="AB49">
        <f t="shared" si="44"/>
        <v>0.79927482794292337</v>
      </c>
      <c r="AC49">
        <f t="shared" si="45"/>
        <v>0.17429826716870134</v>
      </c>
      <c r="AD49">
        <f t="shared" si="46"/>
        <v>0.26148791925879933</v>
      </c>
      <c r="AE49">
        <f t="shared" si="47"/>
        <v>0.89057188994547265</v>
      </c>
      <c r="AF49">
        <f t="shared" si="48"/>
        <v>0.19571498846586449</v>
      </c>
      <c r="AG49">
        <f t="shared" si="49"/>
        <v>5.1094707045107803</v>
      </c>
    </row>
    <row r="50" spans="3:33" x14ac:dyDescent="0.25">
      <c r="C50" s="40" t="s">
        <v>127</v>
      </c>
      <c r="D50">
        <f t="shared" si="50"/>
        <v>124.06829853385507</v>
      </c>
      <c r="E50">
        <f t="shared" si="51"/>
        <v>37.82570077251679</v>
      </c>
      <c r="F50">
        <f t="shared" si="52"/>
        <v>0.80927482794292338</v>
      </c>
      <c r="G50">
        <f t="shared" si="53"/>
        <v>9.0617050148843428E-2</v>
      </c>
      <c r="H50">
        <f t="shared" si="54"/>
        <v>67.721085785747348</v>
      </c>
      <c r="I50" s="21">
        <f t="shared" si="55"/>
        <v>466.92063343213937</v>
      </c>
      <c r="J50">
        <f t="shared" si="56"/>
        <v>104.18928819313665</v>
      </c>
      <c r="K50" s="21">
        <f t="shared" si="57"/>
        <v>718.36013666251085</v>
      </c>
      <c r="L50">
        <f t="shared" si="58"/>
        <v>583.27025808728945</v>
      </c>
      <c r="M50">
        <f t="shared" si="59"/>
        <v>324.03903227071635</v>
      </c>
      <c r="N50">
        <f>L50-'Example 7.2 - Pipe P1'!$C$8</f>
        <v>123.60025808728943</v>
      </c>
      <c r="O50">
        <f>M50-'Example 7.2 - Pipe P1'!$C$9</f>
        <v>50.88903227071637</v>
      </c>
      <c r="P50">
        <f t="shared" si="60"/>
        <v>659.67000000000007</v>
      </c>
      <c r="Q50">
        <f t="shared" si="61"/>
        <v>366.48333333333335</v>
      </c>
      <c r="R50">
        <f>P50-'Example 7.2 - Pipe P1'!$C$8</f>
        <v>200.00000000000006</v>
      </c>
      <c r="S50">
        <f>Q50-'Example 7.2 - Pipe P1'!$C$9</f>
        <v>93.333333333333371</v>
      </c>
      <c r="T50">
        <f t="shared" si="62"/>
        <v>0.31337022441123835</v>
      </c>
      <c r="U50">
        <f t="shared" si="63"/>
        <v>5.0197084049224454</v>
      </c>
      <c r="V50">
        <f t="shared" si="64"/>
        <v>1183.943246737857</v>
      </c>
      <c r="W50">
        <f t="shared" si="65"/>
        <v>360.9583069322735</v>
      </c>
      <c r="X50">
        <f t="shared" si="66"/>
        <v>958.13546729796531</v>
      </c>
      <c r="Y50">
        <f t="shared" si="67"/>
        <v>292.11447173718454</v>
      </c>
      <c r="AA50">
        <f t="shared" si="43"/>
        <v>0.99243033533815095</v>
      </c>
      <c r="AB50">
        <f t="shared" si="44"/>
        <v>0.80927482794292338</v>
      </c>
      <c r="AC50">
        <f t="shared" si="45"/>
        <v>0.1718995007048873</v>
      </c>
      <c r="AD50">
        <f t="shared" si="46"/>
        <v>0.26047322048284161</v>
      </c>
      <c r="AE50">
        <f t="shared" si="47"/>
        <v>0.88803864871266347</v>
      </c>
      <c r="AF50">
        <f t="shared" si="48"/>
        <v>0.19357209391064195</v>
      </c>
      <c r="AG50">
        <f t="shared" si="49"/>
        <v>5.1660339039449905</v>
      </c>
    </row>
    <row r="51" spans="3:33" x14ac:dyDescent="0.25">
      <c r="C51" s="40" t="s">
        <v>127</v>
      </c>
      <c r="D51">
        <f t="shared" si="50"/>
        <v>124.18408797127914</v>
      </c>
      <c r="E51">
        <f t="shared" si="51"/>
        <v>37.86100243026803</v>
      </c>
      <c r="F51">
        <f t="shared" si="52"/>
        <v>0.81927482794292339</v>
      </c>
      <c r="G51">
        <f t="shared" si="53"/>
        <v>9.0948752602910229E-2</v>
      </c>
      <c r="H51">
        <f t="shared" si="54"/>
        <v>66.798371448109648</v>
      </c>
      <c r="I51" s="21">
        <f t="shared" si="55"/>
        <v>460.55873952556846</v>
      </c>
      <c r="J51">
        <f t="shared" si="56"/>
        <v>103.80929570734602</v>
      </c>
      <c r="K51" s="21">
        <f t="shared" si="57"/>
        <v>715.74017967118107</v>
      </c>
      <c r="L51">
        <f t="shared" si="58"/>
        <v>581.59533444703254</v>
      </c>
      <c r="M51">
        <f t="shared" si="59"/>
        <v>323.10851913724031</v>
      </c>
      <c r="N51">
        <f>L51-'Example 7.2 - Pipe P1'!$C$8</f>
        <v>121.92533444703253</v>
      </c>
      <c r="O51">
        <f>M51-'Example 7.2 - Pipe P1'!$C$9</f>
        <v>49.95851913724033</v>
      </c>
      <c r="P51">
        <f t="shared" si="60"/>
        <v>659.67000000000007</v>
      </c>
      <c r="Q51">
        <f t="shared" si="61"/>
        <v>366.48333333333335</v>
      </c>
      <c r="R51">
        <f>P51-'Example 7.2 - Pipe P1'!$C$8</f>
        <v>200.00000000000006</v>
      </c>
      <c r="S51">
        <f>Q51-'Example 7.2 - Pipe P1'!$C$9</f>
        <v>93.333333333333371</v>
      </c>
      <c r="T51">
        <f t="shared" si="62"/>
        <v>0.30999065951557664</v>
      </c>
      <c r="U51">
        <f t="shared" si="63"/>
        <v>4.9655729798238841</v>
      </c>
      <c r="V51">
        <f t="shared" si="64"/>
        <v>1182.2421140613192</v>
      </c>
      <c r="W51">
        <f t="shared" si="65"/>
        <v>360.43966892113389</v>
      </c>
      <c r="X51">
        <f t="shared" si="66"/>
        <v>968.58120458446524</v>
      </c>
      <c r="Y51">
        <f t="shared" si="67"/>
        <v>295.29914773916624</v>
      </c>
      <c r="AA51">
        <f t="shared" si="43"/>
        <v>0.9933565425286206</v>
      </c>
      <c r="AB51">
        <f t="shared" si="44"/>
        <v>0.81927482794292339</v>
      </c>
      <c r="AC51">
        <f t="shared" si="45"/>
        <v>0.16955733309057913</v>
      </c>
      <c r="AD51">
        <f t="shared" si="46"/>
        <v>0.25952323926836507</v>
      </c>
      <c r="AE51">
        <f t="shared" si="47"/>
        <v>0.88548854967098045</v>
      </c>
      <c r="AF51">
        <f t="shared" si="48"/>
        <v>0.19148450101763742</v>
      </c>
      <c r="AG51">
        <f t="shared" si="49"/>
        <v>5.222354784254267</v>
      </c>
    </row>
    <row r="52" spans="3:33" x14ac:dyDescent="0.25">
      <c r="C52" s="40" t="s">
        <v>127</v>
      </c>
      <c r="D52">
        <f t="shared" si="50"/>
        <v>124.28998013073056</v>
      </c>
      <c r="E52">
        <f t="shared" si="51"/>
        <v>37.893286625222736</v>
      </c>
      <c r="F52">
        <f t="shared" si="52"/>
        <v>0.8292748279429234</v>
      </c>
      <c r="G52">
        <f t="shared" si="53"/>
        <v>9.1260699721920052E-2</v>
      </c>
      <c r="H52">
        <f t="shared" si="54"/>
        <v>65.897160153916786</v>
      </c>
      <c r="I52" s="21">
        <f t="shared" si="55"/>
        <v>454.34510394281926</v>
      </c>
      <c r="J52">
        <f t="shared" si="56"/>
        <v>103.45445500569657</v>
      </c>
      <c r="K52" s="21">
        <f t="shared" si="57"/>
        <v>713.29363819507648</v>
      </c>
      <c r="L52">
        <f t="shared" si="58"/>
        <v>579.90961027386993</v>
      </c>
      <c r="M52">
        <f t="shared" si="59"/>
        <v>322.17200570770552</v>
      </c>
      <c r="N52">
        <f>L52-'Example 7.2 - Pipe P1'!$C$8</f>
        <v>120.23961027386991</v>
      </c>
      <c r="O52">
        <f>M52-'Example 7.2 - Pipe P1'!$C$9</f>
        <v>49.022005707705546</v>
      </c>
      <c r="P52">
        <f t="shared" si="60"/>
        <v>659.67000000000007</v>
      </c>
      <c r="Q52">
        <f t="shared" si="61"/>
        <v>366.48333333333335</v>
      </c>
      <c r="R52">
        <f>P52-'Example 7.2 - Pipe P1'!$C$8</f>
        <v>200.00000000000006</v>
      </c>
      <c r="S52">
        <f>Q52-'Example 7.2 - Pipe P1'!$C$9</f>
        <v>93.333333333333371</v>
      </c>
      <c r="T52">
        <f t="shared" si="62"/>
        <v>0.30669736212140214</v>
      </c>
      <c r="U52">
        <f t="shared" si="63"/>
        <v>4.9128194272471957</v>
      </c>
      <c r="V52">
        <f t="shared" si="64"/>
        <v>1180.5275367659285</v>
      </c>
      <c r="W52">
        <f t="shared" si="65"/>
        <v>359.91693194083189</v>
      </c>
      <c r="X52">
        <f t="shared" si="66"/>
        <v>978.9817699334485</v>
      </c>
      <c r="Y52">
        <f t="shared" si="67"/>
        <v>298.47005180897821</v>
      </c>
      <c r="AA52">
        <f t="shared" si="43"/>
        <v>0.9942035807531785</v>
      </c>
      <c r="AB52">
        <f t="shared" si="44"/>
        <v>0.8292748279429234</v>
      </c>
      <c r="AC52">
        <f t="shared" si="45"/>
        <v>0.16726974762581739</v>
      </c>
      <c r="AD52">
        <f t="shared" si="46"/>
        <v>0.25863613751424142</v>
      </c>
      <c r="AE52">
        <f t="shared" si="47"/>
        <v>0.88292200663868747</v>
      </c>
      <c r="AF52">
        <f t="shared" si="48"/>
        <v>0.18945019647048861</v>
      </c>
      <c r="AG52">
        <f t="shared" si="49"/>
        <v>5.2784321084395049</v>
      </c>
    </row>
    <row r="53" spans="3:33" x14ac:dyDescent="0.25">
      <c r="C53" s="40" t="s">
        <v>127</v>
      </c>
      <c r="D53">
        <f t="shared" si="50"/>
        <v>124.38654462233444</v>
      </c>
      <c r="E53">
        <f t="shared" si="51"/>
        <v>37.922727019004405</v>
      </c>
      <c r="F53">
        <f t="shared" si="52"/>
        <v>0.83927482794292341</v>
      </c>
      <c r="G53">
        <f t="shared" si="53"/>
        <v>9.1553077991243154E-2</v>
      </c>
      <c r="H53">
        <f t="shared" si="54"/>
        <v>65.016695271304755</v>
      </c>
      <c r="I53" s="21">
        <f t="shared" si="55"/>
        <v>448.27450988878115</v>
      </c>
      <c r="J53">
        <f t="shared" si="56"/>
        <v>103.12406923197936</v>
      </c>
      <c r="K53" s="21">
        <f t="shared" si="57"/>
        <v>711.01570757788204</v>
      </c>
      <c r="L53">
        <f t="shared" si="58"/>
        <v>578.21335651579943</v>
      </c>
      <c r="M53">
        <f t="shared" si="59"/>
        <v>321.22964250877743</v>
      </c>
      <c r="N53">
        <f>L53-'Example 7.2 - Pipe P1'!$C$8</f>
        <v>118.54335651579942</v>
      </c>
      <c r="O53">
        <f>M53-'Example 7.2 - Pipe P1'!$C$9</f>
        <v>48.079642508777454</v>
      </c>
      <c r="P53">
        <f t="shared" si="60"/>
        <v>659.67000000000007</v>
      </c>
      <c r="Q53">
        <f t="shared" si="61"/>
        <v>366.48333333333335</v>
      </c>
      <c r="R53">
        <f>P53-'Example 7.2 - Pipe P1'!$C$8</f>
        <v>200.00000000000006</v>
      </c>
      <c r="S53">
        <f>Q53-'Example 7.2 - Pipe P1'!$C$9</f>
        <v>93.333333333333371</v>
      </c>
      <c r="T53">
        <f t="shared" si="62"/>
        <v>0.30348722814692669</v>
      </c>
      <c r="U53">
        <f t="shared" si="63"/>
        <v>4.86139802458242</v>
      </c>
      <c r="V53">
        <f t="shared" si="64"/>
        <v>1178.7997323756056</v>
      </c>
      <c r="W53">
        <f t="shared" si="65"/>
        <v>359.39016230963585</v>
      </c>
      <c r="X53">
        <f t="shared" si="66"/>
        <v>989.33694256870058</v>
      </c>
      <c r="Y53">
        <f t="shared" si="67"/>
        <v>301.62711663679897</v>
      </c>
      <c r="AA53">
        <f t="shared" si="43"/>
        <v>0.99497600636001515</v>
      </c>
      <c r="AB53">
        <f t="shared" si="44"/>
        <v>0.83927482794292341</v>
      </c>
      <c r="AC53">
        <f t="shared" si="45"/>
        <v>0.16503482371765629</v>
      </c>
      <c r="AD53">
        <f t="shared" si="46"/>
        <v>0.25781017307994841</v>
      </c>
      <c r="AE53">
        <f t="shared" si="47"/>
        <v>0.88033943213860855</v>
      </c>
      <c r="AF53">
        <f t="shared" si="48"/>
        <v>0.18746726284512463</v>
      </c>
      <c r="AG53">
        <f t="shared" si="49"/>
        <v>5.3342646861289387</v>
      </c>
    </row>
    <row r="54" spans="3:33" x14ac:dyDescent="0.25">
      <c r="C54" s="40" t="s">
        <v>127</v>
      </c>
      <c r="D54">
        <f t="shared" si="50"/>
        <v>124.4743154523868</v>
      </c>
      <c r="E54">
        <f t="shared" si="51"/>
        <v>37.949486418410615</v>
      </c>
      <c r="F54">
        <f t="shared" si="52"/>
        <v>0.84927482794292342</v>
      </c>
      <c r="G54">
        <f t="shared" si="53"/>
        <v>9.1826080210920938E-2</v>
      </c>
      <c r="H54">
        <f t="shared" si="54"/>
        <v>64.1562557981282</v>
      </c>
      <c r="I54" s="21">
        <f t="shared" si="55"/>
        <v>442.34198622670237</v>
      </c>
      <c r="J54">
        <f t="shared" si="56"/>
        <v>102.81747768698615</v>
      </c>
      <c r="K54" s="21">
        <f t="shared" si="57"/>
        <v>708.90183245712467</v>
      </c>
      <c r="L54">
        <f t="shared" si="58"/>
        <v>576.5068431875078</v>
      </c>
      <c r="M54">
        <f t="shared" si="59"/>
        <v>320.28157954861541</v>
      </c>
      <c r="N54">
        <f>L54-'Example 7.2 - Pipe P1'!$C$8</f>
        <v>116.83684318750778</v>
      </c>
      <c r="O54">
        <f>M54-'Example 7.2 - Pipe P1'!$C$9</f>
        <v>47.131579548615434</v>
      </c>
      <c r="P54">
        <f t="shared" si="60"/>
        <v>659.67000000000007</v>
      </c>
      <c r="Q54">
        <f t="shared" si="61"/>
        <v>366.48333333333335</v>
      </c>
      <c r="R54">
        <f>P54-'Example 7.2 - Pipe P1'!$C$8</f>
        <v>200.00000000000006</v>
      </c>
      <c r="S54">
        <f>Q54-'Example 7.2 - Pipe P1'!$C$9</f>
        <v>93.333333333333371</v>
      </c>
      <c r="T54">
        <f t="shared" si="62"/>
        <v>0.30035729961297725</v>
      </c>
      <c r="U54">
        <f t="shared" si="63"/>
        <v>4.8112613895584921</v>
      </c>
      <c r="V54">
        <f t="shared" si="64"/>
        <v>1177.0589182878653</v>
      </c>
      <c r="W54">
        <f t="shared" si="65"/>
        <v>358.85942630727601</v>
      </c>
      <c r="X54">
        <f t="shared" si="66"/>
        <v>999.64651030761036</v>
      </c>
      <c r="Y54">
        <f t="shared" si="67"/>
        <v>304.77027753280805</v>
      </c>
      <c r="AA54">
        <f t="shared" si="43"/>
        <v>0.99567809089999137</v>
      </c>
      <c r="AB54">
        <f t="shared" si="44"/>
        <v>0.84927482794292342</v>
      </c>
      <c r="AC54">
        <f t="shared" si="45"/>
        <v>0.16285073121367943</v>
      </c>
      <c r="AD54">
        <f t="shared" si="46"/>
        <v>0.25704369421746537</v>
      </c>
      <c r="AE54">
        <f t="shared" si="47"/>
        <v>0.87774123727258568</v>
      </c>
      <c r="AF54">
        <f t="shared" si="48"/>
        <v>0.18553387296660134</v>
      </c>
      <c r="AG54">
        <f t="shared" si="49"/>
        <v>5.389851373285425</v>
      </c>
    </row>
    <row r="55" spans="3:33" x14ac:dyDescent="0.25">
      <c r="C55" s="40" t="s">
        <v>127</v>
      </c>
      <c r="D55">
        <f t="shared" si="50"/>
        <v>124.5537935674229</v>
      </c>
      <c r="E55">
        <f t="shared" si="51"/>
        <v>37.97371755104357</v>
      </c>
      <c r="F55">
        <f t="shared" si="52"/>
        <v>0.85927482794292342</v>
      </c>
      <c r="G55">
        <f t="shared" si="53"/>
        <v>9.2079905233520512E-2</v>
      </c>
      <c r="H55">
        <f t="shared" si="54"/>
        <v>63.315154285538306</v>
      </c>
      <c r="I55" s="21">
        <f t="shared" si="55"/>
        <v>436.54279316175808</v>
      </c>
      <c r="J55">
        <f t="shared" si="56"/>
        <v>102.53405375717927</v>
      </c>
      <c r="K55" s="21">
        <f t="shared" si="57"/>
        <v>706.94769248284933</v>
      </c>
      <c r="L55">
        <f t="shared" si="58"/>
        <v>574.79033928982994</v>
      </c>
      <c r="M55">
        <f t="shared" si="59"/>
        <v>319.32796627212775</v>
      </c>
      <c r="N55">
        <f>L55-'Example 7.2 - Pipe P1'!$C$8</f>
        <v>115.12033928982993</v>
      </c>
      <c r="O55">
        <f>M55-'Example 7.2 - Pipe P1'!$C$9</f>
        <v>46.177966272127776</v>
      </c>
      <c r="P55">
        <f t="shared" si="60"/>
        <v>659.67000000000007</v>
      </c>
      <c r="Q55">
        <f t="shared" si="61"/>
        <v>366.48333333333335</v>
      </c>
      <c r="R55">
        <f>P55-'Example 7.2 - Pipe P1'!$C$8</f>
        <v>200.00000000000006</v>
      </c>
      <c r="S55">
        <f>Q55-'Example 7.2 - Pipe P1'!$C$9</f>
        <v>93.333333333333371</v>
      </c>
      <c r="T55">
        <f t="shared" si="62"/>
        <v>0.29730475614526553</v>
      </c>
      <c r="U55">
        <f t="shared" si="63"/>
        <v>4.7623643441226902</v>
      </c>
      <c r="V55">
        <f t="shared" si="64"/>
        <v>1175.3053117148106</v>
      </c>
      <c r="W55">
        <f t="shared" si="65"/>
        <v>358.32479015695446</v>
      </c>
      <c r="X55">
        <f t="shared" si="66"/>
        <v>1009.9102695041479</v>
      </c>
      <c r="Y55">
        <f t="shared" si="67"/>
        <v>307.89947240980121</v>
      </c>
      <c r="AA55">
        <f t="shared" si="43"/>
        <v>0.99631384147680613</v>
      </c>
      <c r="AB55">
        <f t="shared" si="44"/>
        <v>0.85927482794292342</v>
      </c>
      <c r="AC55">
        <f t="shared" si="45"/>
        <v>0.16071572513132334</v>
      </c>
      <c r="AD55">
        <f t="shared" si="46"/>
        <v>0.25633513439294814</v>
      </c>
      <c r="AE55">
        <f t="shared" si="47"/>
        <v>0.87512783159885466</v>
      </c>
      <c r="AF55">
        <f t="shared" si="48"/>
        <v>0.1836482846599638</v>
      </c>
      <c r="AG55">
        <f t="shared" si="49"/>
        <v>5.4451910718989938</v>
      </c>
    </row>
    <row r="56" spans="3:33" x14ac:dyDescent="0.25">
      <c r="C56" s="40" t="s">
        <v>127</v>
      </c>
      <c r="D56">
        <f t="shared" si="50"/>
        <v>124.6254491913347</v>
      </c>
      <c r="E56">
        <f t="shared" si="51"/>
        <v>37.995563777845945</v>
      </c>
      <c r="F56">
        <f t="shared" si="52"/>
        <v>0.86927482794292343</v>
      </c>
      <c r="G56">
        <f t="shared" si="53"/>
        <v>9.2314757702425906E-2</v>
      </c>
      <c r="H56">
        <f t="shared" si="54"/>
        <v>62.492734904936228</v>
      </c>
      <c r="I56" s="21">
        <f t="shared" si="55"/>
        <v>430.8724089131581</v>
      </c>
      <c r="J56">
        <f t="shared" si="56"/>
        <v>102.2732029867166</v>
      </c>
      <c r="K56" s="21">
        <f t="shared" si="57"/>
        <v>705.14918902469412</v>
      </c>
      <c r="L56">
        <f t="shared" si="58"/>
        <v>573.06411273114702</v>
      </c>
      <c r="M56">
        <f t="shared" si="59"/>
        <v>318.36895151730391</v>
      </c>
      <c r="N56">
        <f>L56-'Example 7.2 - Pipe P1'!$C$8</f>
        <v>113.394112731147</v>
      </c>
      <c r="O56">
        <f>M56-'Example 7.2 - Pipe P1'!$C$9</f>
        <v>45.218951517303935</v>
      </c>
      <c r="P56">
        <f t="shared" si="60"/>
        <v>659.67000000000007</v>
      </c>
      <c r="Q56">
        <f t="shared" si="61"/>
        <v>366.48333333333335</v>
      </c>
      <c r="R56">
        <f>P56-'Example 7.2 - Pipe P1'!$C$8</f>
        <v>200.00000000000006</v>
      </c>
      <c r="S56">
        <f>Q56-'Example 7.2 - Pipe P1'!$C$9</f>
        <v>93.333333333333371</v>
      </c>
      <c r="T56">
        <f t="shared" si="62"/>
        <v>0.29432690706317027</v>
      </c>
      <c r="U56">
        <f t="shared" si="63"/>
        <v>4.7146637877151107</v>
      </c>
      <c r="V56">
        <f t="shared" si="64"/>
        <v>1173.5391296251546</v>
      </c>
      <c r="W56">
        <f t="shared" si="65"/>
        <v>357.78632000766913</v>
      </c>
      <c r="X56">
        <f t="shared" si="66"/>
        <v>1020.1280249891944</v>
      </c>
      <c r="Y56">
        <f t="shared" si="67"/>
        <v>311.01464176499832</v>
      </c>
      <c r="AA56">
        <f t="shared" si="43"/>
        <v>0.99688701944174973</v>
      </c>
      <c r="AB56">
        <f t="shared" si="44"/>
        <v>0.86927482794292343</v>
      </c>
      <c r="AC56">
        <f t="shared" si="45"/>
        <v>0.15862814075113796</v>
      </c>
      <c r="AD56">
        <f t="shared" si="46"/>
        <v>0.25568300746679151</v>
      </c>
      <c r="AE56">
        <f t="shared" si="47"/>
        <v>0.87249962301237249</v>
      </c>
      <c r="AF56">
        <f t="shared" si="48"/>
        <v>0.18180883586340357</v>
      </c>
      <c r="AG56">
        <f t="shared" si="49"/>
        <v>5.5002827296651233</v>
      </c>
    </row>
    <row r="57" spans="3:33" x14ac:dyDescent="0.25">
      <c r="C57" s="40" t="s">
        <v>127</v>
      </c>
      <c r="D57">
        <f t="shared" si="50"/>
        <v>124.68972397444709</v>
      </c>
      <c r="E57">
        <f t="shared" si="51"/>
        <v>38.015159748307042</v>
      </c>
      <c r="F57">
        <f t="shared" si="52"/>
        <v>0.87927482794292344</v>
      </c>
      <c r="G57">
        <f t="shared" si="53"/>
        <v>9.2530847790870521E-2</v>
      </c>
      <c r="H57">
        <f t="shared" si="54"/>
        <v>61.68837164688896</v>
      </c>
      <c r="I57" s="21">
        <f t="shared" si="55"/>
        <v>425.3265172961041</v>
      </c>
      <c r="J57">
        <f t="shared" si="56"/>
        <v>102.03436128141996</v>
      </c>
      <c r="K57" s="21">
        <f t="shared" si="57"/>
        <v>703.50243278868311</v>
      </c>
      <c r="L57">
        <f t="shared" si="58"/>
        <v>571.32843025074044</v>
      </c>
      <c r="M57">
        <f t="shared" si="59"/>
        <v>317.40468347263356</v>
      </c>
      <c r="N57">
        <f>L57-'Example 7.2 - Pipe P1'!$C$8</f>
        <v>111.65843025074042</v>
      </c>
      <c r="O57">
        <f>M57-'Example 7.2 - Pipe P1'!$C$9</f>
        <v>44.254683472633587</v>
      </c>
      <c r="P57">
        <f t="shared" si="60"/>
        <v>659.67000000000007</v>
      </c>
      <c r="Q57">
        <f t="shared" si="61"/>
        <v>366.48333333333335</v>
      </c>
      <c r="R57">
        <f>P57-'Example 7.2 - Pipe P1'!$C$8</f>
        <v>200.00000000000006</v>
      </c>
      <c r="S57">
        <f>Q57-'Example 7.2 - Pipe P1'!$C$9</f>
        <v>93.333333333333371</v>
      </c>
      <c r="T57">
        <f t="shared" si="62"/>
        <v>0.29142118400834022</v>
      </c>
      <c r="U57">
        <f t="shared" si="63"/>
        <v>4.6681185791902378</v>
      </c>
      <c r="V57">
        <f t="shared" si="64"/>
        <v>1171.7605886872868</v>
      </c>
      <c r="W57">
        <f t="shared" si="65"/>
        <v>357.24408191685575</v>
      </c>
      <c r="X57">
        <f t="shared" si="66"/>
        <v>1030.2995900083129</v>
      </c>
      <c r="Y57">
        <f t="shared" si="67"/>
        <v>314.11572866107099</v>
      </c>
      <c r="AA57">
        <f t="shared" si="43"/>
        <v>0.99740115758430359</v>
      </c>
      <c r="AB57">
        <f t="shared" si="44"/>
        <v>0.87927482794292344</v>
      </c>
      <c r="AC57">
        <f t="shared" si="45"/>
        <v>0.15658638904501304</v>
      </c>
      <c r="AD57">
        <f t="shared" si="46"/>
        <v>0.2550859032035499</v>
      </c>
      <c r="AE57">
        <f t="shared" si="47"/>
        <v>0.86985701762812229</v>
      </c>
      <c r="AF57">
        <f t="shared" si="48"/>
        <v>0.18001394007486896</v>
      </c>
      <c r="AG57">
        <f t="shared" si="49"/>
        <v>5.555125339649214</v>
      </c>
    </row>
    <row r="58" spans="3:33" x14ac:dyDescent="0.25">
      <c r="C58" s="40" t="s">
        <v>127</v>
      </c>
      <c r="D58">
        <f t="shared" si="50"/>
        <v>124.74703297154596</v>
      </c>
      <c r="E58">
        <f t="shared" si="51"/>
        <v>38.032632003520114</v>
      </c>
      <c r="F58">
        <f t="shared" si="52"/>
        <v>0.88927482794292345</v>
      </c>
      <c r="G58">
        <f t="shared" si="53"/>
        <v>9.2728390942005801E-2</v>
      </c>
      <c r="H58">
        <f t="shared" si="54"/>
        <v>60.901466641620829</v>
      </c>
      <c r="I58" s="21">
        <f t="shared" si="55"/>
        <v>419.90099614198164</v>
      </c>
      <c r="J58">
        <f t="shared" si="56"/>
        <v>101.81699323430037</v>
      </c>
      <c r="K58" s="21">
        <f t="shared" si="57"/>
        <v>702.00373227212481</v>
      </c>
      <c r="L58">
        <f t="shared" si="58"/>
        <v>569.58355734411475</v>
      </c>
      <c r="M58">
        <f t="shared" si="59"/>
        <v>316.43530963561932</v>
      </c>
      <c r="N58">
        <f>L58-'Example 7.2 - Pipe P1'!$C$8</f>
        <v>109.91355734411474</v>
      </c>
      <c r="O58">
        <f>M58-'Example 7.2 - Pipe P1'!$C$9</f>
        <v>43.285309635619342</v>
      </c>
      <c r="P58">
        <f t="shared" si="60"/>
        <v>659.67000000000007</v>
      </c>
      <c r="Q58">
        <f t="shared" si="61"/>
        <v>366.48333333333335</v>
      </c>
      <c r="R58">
        <f>P58-'Example 7.2 - Pipe P1'!$C$8</f>
        <v>200.00000000000006</v>
      </c>
      <c r="S58">
        <f>Q58-'Example 7.2 - Pipe P1'!$C$9</f>
        <v>93.333333333333371</v>
      </c>
      <c r="T58">
        <f t="shared" si="62"/>
        <v>0.28858513407062331</v>
      </c>
      <c r="U58">
        <f t="shared" si="63"/>
        <v>4.622689426704917</v>
      </c>
      <c r="V58">
        <f t="shared" si="64"/>
        <v>1169.969905213399</v>
      </c>
      <c r="W58">
        <f t="shared" si="65"/>
        <v>356.69814183335336</v>
      </c>
      <c r="X58">
        <f t="shared" si="66"/>
        <v>1040.4247861570439</v>
      </c>
      <c r="Y58">
        <f t="shared" si="67"/>
        <v>317.20267870641584</v>
      </c>
      <c r="AA58">
        <f t="shared" si="43"/>
        <v>0.99785957595451447</v>
      </c>
      <c r="AB58">
        <f t="shared" si="44"/>
        <v>0.88927482794292345</v>
      </c>
      <c r="AC58">
        <f t="shared" si="45"/>
        <v>0.15458895241300563</v>
      </c>
      <c r="AD58">
        <f t="shared" si="46"/>
        <v>0.25454248308575095</v>
      </c>
      <c r="AE58">
        <f t="shared" si="47"/>
        <v>0.86720041966741612</v>
      </c>
      <c r="AF58">
        <f t="shared" si="48"/>
        <v>0.17826208210587899</v>
      </c>
      <c r="AG58">
        <f t="shared" si="49"/>
        <v>5.6097179399377186</v>
      </c>
    </row>
    <row r="59" spans="3:33" x14ac:dyDescent="0.25">
      <c r="C59" s="40" t="s">
        <v>127</v>
      </c>
      <c r="D59">
        <f t="shared" si="50"/>
        <v>124.79776646414875</v>
      </c>
      <c r="E59">
        <f t="shared" si="51"/>
        <v>38.048099531752669</v>
      </c>
      <c r="F59">
        <f t="shared" si="52"/>
        <v>0.89927482794292346</v>
      </c>
      <c r="G59">
        <f t="shared" si="53"/>
        <v>9.2907607610290474E-2</v>
      </c>
      <c r="H59">
        <f t="shared" si="54"/>
        <v>60.131448591617527</v>
      </c>
      <c r="I59" s="21">
        <f t="shared" si="55"/>
        <v>414.59190649154084</v>
      </c>
      <c r="J59">
        <f t="shared" si="56"/>
        <v>101.62059056317838</v>
      </c>
      <c r="K59" s="21">
        <f t="shared" si="57"/>
        <v>700.64958299137982</v>
      </c>
      <c r="L59">
        <f t="shared" si="58"/>
        <v>567.82975819030503</v>
      </c>
      <c r="M59">
        <f t="shared" si="59"/>
        <v>315.46097677239169</v>
      </c>
      <c r="N59">
        <f>L59-'Example 7.2 - Pipe P1'!$C$8</f>
        <v>108.15975819030501</v>
      </c>
      <c r="O59">
        <f>M59-'Example 7.2 - Pipe P1'!$C$9</f>
        <v>42.310976772391712</v>
      </c>
      <c r="P59">
        <f t="shared" si="60"/>
        <v>659.67000000000007</v>
      </c>
      <c r="Q59">
        <f t="shared" si="61"/>
        <v>366.48333333333335</v>
      </c>
      <c r="R59">
        <f>P59-'Example 7.2 - Pipe P1'!$C$8</f>
        <v>200.00000000000006</v>
      </c>
      <c r="S59">
        <f>Q59-'Example 7.2 - Pipe P1'!$C$9</f>
        <v>93.333333333333371</v>
      </c>
      <c r="T59">
        <f t="shared" si="62"/>
        <v>0.28581641337260805</v>
      </c>
      <c r="U59">
        <f t="shared" si="63"/>
        <v>4.5783387849525869</v>
      </c>
      <c r="V59">
        <f t="shared" si="64"/>
        <v>1168.1672951046862</v>
      </c>
      <c r="W59">
        <f t="shared" si="65"/>
        <v>356.14856558069704</v>
      </c>
      <c r="X59">
        <f t="shared" si="66"/>
        <v>1050.5034433138169</v>
      </c>
      <c r="Y59">
        <f t="shared" si="67"/>
        <v>320.2754400347003</v>
      </c>
      <c r="AA59">
        <f t="shared" si="43"/>
        <v>0.99826539643945422</v>
      </c>
      <c r="AB59">
        <f t="shared" si="44"/>
        <v>0.89927482794292346</v>
      </c>
      <c r="AC59">
        <f t="shared" si="45"/>
        <v>0.15263438070474789</v>
      </c>
      <c r="AD59">
        <f t="shared" si="46"/>
        <v>0.25405147640794595</v>
      </c>
      <c r="AE59">
        <f t="shared" si="47"/>
        <v>0.86453023134721974</v>
      </c>
      <c r="AF59">
        <f t="shared" si="48"/>
        <v>0.17655181411862689</v>
      </c>
      <c r="AG59">
        <f t="shared" si="49"/>
        <v>5.6640596132764172</v>
      </c>
    </row>
    <row r="60" spans="3:33" x14ac:dyDescent="0.25">
      <c r="C60" s="40" t="s">
        <v>127</v>
      </c>
      <c r="D60">
        <f t="shared" si="50"/>
        <v>124.84229164079274</v>
      </c>
      <c r="E60">
        <f t="shared" si="51"/>
        <v>38.061674280729498</v>
      </c>
      <c r="F60">
        <f t="shared" si="52"/>
        <v>0.90927482794292347</v>
      </c>
      <c r="G60">
        <f t="shared" si="53"/>
        <v>9.3068723004475079E-2</v>
      </c>
      <c r="H60">
        <f t="shared" si="54"/>
        <v>59.377771307713047</v>
      </c>
      <c r="I60" s="21">
        <f t="shared" si="55"/>
        <v>409.39548250156759</v>
      </c>
      <c r="J60">
        <f t="shared" si="56"/>
        <v>101.44467065176978</v>
      </c>
      <c r="K60" s="21">
        <f t="shared" si="57"/>
        <v>699.43665742299618</v>
      </c>
      <c r="L60">
        <f t="shared" si="58"/>
        <v>566.06729558117843</v>
      </c>
      <c r="M60">
        <f t="shared" si="59"/>
        <v>314.48183087843245</v>
      </c>
      <c r="N60">
        <f>L60-'Example 7.2 - Pipe P1'!$C$8</f>
        <v>106.39729558117841</v>
      </c>
      <c r="O60">
        <f>M60-'Example 7.2 - Pipe P1'!$C$9</f>
        <v>41.33183087843247</v>
      </c>
      <c r="P60">
        <f t="shared" si="60"/>
        <v>659.67000000000007</v>
      </c>
      <c r="Q60">
        <f t="shared" si="61"/>
        <v>366.48333333333335</v>
      </c>
      <c r="R60">
        <f>P60-'Example 7.2 - Pipe P1'!$C$8</f>
        <v>200.00000000000006</v>
      </c>
      <c r="S60">
        <f>Q60-'Example 7.2 - Pipe P1'!$C$9</f>
        <v>93.333333333333371</v>
      </c>
      <c r="T60">
        <f t="shared" si="62"/>
        <v>0.28311278107747306</v>
      </c>
      <c r="U60">
        <f t="shared" si="63"/>
        <v>4.5350307591782597</v>
      </c>
      <c r="V60">
        <f t="shared" si="64"/>
        <v>1166.3529737976319</v>
      </c>
      <c r="W60">
        <f t="shared" si="65"/>
        <v>355.59541884074144</v>
      </c>
      <c r="X60">
        <f t="shared" si="66"/>
        <v>1060.5353995705589</v>
      </c>
      <c r="Y60">
        <f t="shared" si="67"/>
        <v>323.33396328370696</v>
      </c>
      <c r="AA60">
        <f t="shared" si="43"/>
        <v>0.99862155620395465</v>
      </c>
      <c r="AB60">
        <f t="shared" si="44"/>
        <v>0.90927482794292347</v>
      </c>
      <c r="AC60">
        <f t="shared" si="45"/>
        <v>0.15072128750353014</v>
      </c>
      <c r="AD60">
        <f t="shared" si="46"/>
        <v>0.25361167662942447</v>
      </c>
      <c r="AE60">
        <f t="shared" si="47"/>
        <v>0.86184685277251261</v>
      </c>
      <c r="AF60">
        <f t="shared" si="48"/>
        <v>0.17488175192456556</v>
      </c>
      <c r="AG60">
        <f t="shared" si="49"/>
        <v>5.7181494866962739</v>
      </c>
    </row>
    <row r="61" spans="3:33" x14ac:dyDescent="0.25">
      <c r="C61" s="40" t="s">
        <v>127</v>
      </c>
      <c r="D61">
        <f t="shared" si="50"/>
        <v>124.880954147765</v>
      </c>
      <c r="E61">
        <f t="shared" si="51"/>
        <v>38.073461630416162</v>
      </c>
      <c r="F61">
        <f t="shared" si="52"/>
        <v>0.91927482794292348</v>
      </c>
      <c r="G61">
        <f t="shared" si="53"/>
        <v>9.3211966832444704E-2</v>
      </c>
      <c r="H61">
        <f t="shared" si="54"/>
        <v>58.639912340779588</v>
      </c>
      <c r="I61" s="21">
        <f t="shared" si="55"/>
        <v>404.30812201071348</v>
      </c>
      <c r="J61">
        <f t="shared" si="56"/>
        <v>101.28877518635815</v>
      </c>
      <c r="K61" s="21">
        <f t="shared" si="57"/>
        <v>698.36179560389473</v>
      </c>
      <c r="L61">
        <f t="shared" si="58"/>
        <v>564.29643085273756</v>
      </c>
      <c r="M61">
        <f t="shared" si="59"/>
        <v>313.49801714040973</v>
      </c>
      <c r="N61">
        <f>L61-'Example 7.2 - Pipe P1'!$C$8</f>
        <v>104.62643085273754</v>
      </c>
      <c r="O61">
        <f>M61-'Example 7.2 - Pipe P1'!$C$9</f>
        <v>40.348017140409752</v>
      </c>
      <c r="P61">
        <f t="shared" si="60"/>
        <v>659.67000000000007</v>
      </c>
      <c r="Q61">
        <f t="shared" si="61"/>
        <v>366.48333333333335</v>
      </c>
      <c r="R61">
        <f>P61-'Example 7.2 - Pipe P1'!$C$8</f>
        <v>200.00000000000006</v>
      </c>
      <c r="S61">
        <f>Q61-'Example 7.2 - Pipe P1'!$C$9</f>
        <v>93.333333333333371</v>
      </c>
      <c r="T61">
        <f t="shared" si="62"/>
        <v>0.28047209378790627</v>
      </c>
      <c r="U61">
        <f t="shared" si="63"/>
        <v>4.4927310154578253</v>
      </c>
      <c r="V61">
        <f t="shared" si="64"/>
        <v>1164.5271562113942</v>
      </c>
      <c r="W61">
        <f t="shared" si="65"/>
        <v>355.0387671376202</v>
      </c>
      <c r="X61">
        <f t="shared" si="66"/>
        <v>1070.5205011610913</v>
      </c>
      <c r="Y61">
        <f t="shared" si="67"/>
        <v>326.37820157350347</v>
      </c>
      <c r="AA61">
        <f t="shared" si="43"/>
        <v>0.99893082009499623</v>
      </c>
      <c r="AB61">
        <f t="shared" si="44"/>
        <v>0.91927482794292348</v>
      </c>
      <c r="AC61">
        <f t="shared" si="45"/>
        <v>0.14884834665305754</v>
      </c>
      <c r="AD61">
        <f t="shared" si="46"/>
        <v>0.25322193796589537</v>
      </c>
      <c r="AE61">
        <f t="shared" si="47"/>
        <v>0.85915068183169596</v>
      </c>
      <c r="AF61">
        <f t="shared" si="48"/>
        <v>0.17325057152456097</v>
      </c>
      <c r="AG61">
        <f t="shared" si="49"/>
        <v>5.771986731127372</v>
      </c>
    </row>
    <row r="62" spans="3:33" x14ac:dyDescent="0.25">
      <c r="C62" s="40" t="s">
        <v>127</v>
      </c>
      <c r="D62">
        <f t="shared" si="50"/>
        <v>124.91407952149275</v>
      </c>
      <c r="E62">
        <f t="shared" si="51"/>
        <v>38.083560829723403</v>
      </c>
      <c r="F62">
        <f t="shared" si="52"/>
        <v>0.92927482794292349</v>
      </c>
      <c r="G62">
        <f t="shared" si="53"/>
        <v>9.3337573048173139E-2</v>
      </c>
      <c r="H62">
        <f t="shared" si="54"/>
        <v>57.917371701819739</v>
      </c>
      <c r="I62" s="21">
        <f t="shared" si="55"/>
        <v>399.32637771483866</v>
      </c>
      <c r="J62">
        <f t="shared" si="56"/>
        <v>101.15246888085393</v>
      </c>
      <c r="K62" s="21">
        <f t="shared" si="57"/>
        <v>697.42199634095641</v>
      </c>
      <c r="L62">
        <f t="shared" si="58"/>
        <v>562.51742381843439</v>
      </c>
      <c r="M62">
        <f t="shared" si="59"/>
        <v>312.50967989913022</v>
      </c>
      <c r="N62">
        <f>L62-'Example 7.2 - Pipe P1'!$C$8</f>
        <v>102.84742381843438</v>
      </c>
      <c r="O62">
        <f>M62-'Example 7.2 - Pipe P1'!$C$9</f>
        <v>39.359679899130242</v>
      </c>
      <c r="P62">
        <f t="shared" si="60"/>
        <v>659.67000000000007</v>
      </c>
      <c r="Q62">
        <f t="shared" si="61"/>
        <v>366.48333333333335</v>
      </c>
      <c r="R62">
        <f>P62-'Example 7.2 - Pipe P1'!$C$8</f>
        <v>200.00000000000006</v>
      </c>
      <c r="S62">
        <f>Q62-'Example 7.2 - Pipe P1'!$C$9</f>
        <v>93.333333333333371</v>
      </c>
      <c r="T62">
        <f t="shared" si="62"/>
        <v>0.27789230030663742</v>
      </c>
      <c r="U62">
        <f t="shared" si="63"/>
        <v>4.4514066967698591</v>
      </c>
      <c r="V62">
        <f t="shared" si="64"/>
        <v>1162.6900566963011</v>
      </c>
      <c r="W62">
        <f t="shared" si="65"/>
        <v>354.47867582204304</v>
      </c>
      <c r="X62">
        <f t="shared" si="66"/>
        <v>1080.4586023874031</v>
      </c>
      <c r="Y62">
        <f t="shared" si="67"/>
        <v>329.40811048396438</v>
      </c>
      <c r="AA62">
        <f t="shared" si="43"/>
        <v>0.99919579209949161</v>
      </c>
      <c r="AB62">
        <f t="shared" si="44"/>
        <v>0.92927482794292349</v>
      </c>
      <c r="AC62">
        <f t="shared" si="45"/>
        <v>0.14701428900860189</v>
      </c>
      <c r="AD62">
        <f t="shared" si="46"/>
        <v>0.25288117220213485</v>
      </c>
      <c r="AE62">
        <f t="shared" si="47"/>
        <v>0.85644211409506288</v>
      </c>
      <c r="AF62">
        <f t="shared" si="48"/>
        <v>0.1716570058724175</v>
      </c>
      <c r="AG62">
        <f t="shared" si="49"/>
        <v>5.8255705610013981</v>
      </c>
    </row>
    <row r="63" spans="3:33" x14ac:dyDescent="0.25">
      <c r="C63" s="40" t="s">
        <v>127</v>
      </c>
      <c r="D63">
        <f t="shared" si="50"/>
        <v>124.94197451273521</v>
      </c>
      <c r="E63">
        <f t="shared" si="51"/>
        <v>38.092065400224151</v>
      </c>
      <c r="F63">
        <f t="shared" si="52"/>
        <v>0.9392748279429235</v>
      </c>
      <c r="G63">
        <f t="shared" si="53"/>
        <v>9.3445779601030288E-2</v>
      </c>
      <c r="H63">
        <f t="shared" si="54"/>
        <v>57.209670663873133</v>
      </c>
      <c r="I63" s="21">
        <f t="shared" si="55"/>
        <v>394.44694890644593</v>
      </c>
      <c r="J63">
        <f t="shared" si="56"/>
        <v>101.03533828365288</v>
      </c>
      <c r="K63" s="21">
        <f t="shared" si="57"/>
        <v>696.61440898459853</v>
      </c>
      <c r="L63">
        <f t="shared" si="58"/>
        <v>560.73053270449645</v>
      </c>
      <c r="M63">
        <f t="shared" si="59"/>
        <v>311.51696261360911</v>
      </c>
      <c r="N63">
        <f>L63-'Example 7.2 - Pipe P1'!$C$8</f>
        <v>101.06053270449644</v>
      </c>
      <c r="O63">
        <f>M63-'Example 7.2 - Pipe P1'!$C$9</f>
        <v>38.366962613609132</v>
      </c>
      <c r="P63">
        <f t="shared" si="60"/>
        <v>659.67000000000007</v>
      </c>
      <c r="Q63">
        <f t="shared" si="61"/>
        <v>366.48333333333335</v>
      </c>
      <c r="R63">
        <f>P63-'Example 7.2 - Pipe P1'!$C$8</f>
        <v>200.00000000000006</v>
      </c>
      <c r="S63">
        <f>Q63-'Example 7.2 - Pipe P1'!$C$9</f>
        <v>93.333333333333371</v>
      </c>
      <c r="T63">
        <f t="shared" si="62"/>
        <v>0.27537143673163317</v>
      </c>
      <c r="U63">
        <f t="shared" si="63"/>
        <v>4.4110263444281967</v>
      </c>
      <c r="V63">
        <f t="shared" si="64"/>
        <v>1160.8418889834616</v>
      </c>
      <c r="W63">
        <f t="shared" si="65"/>
        <v>353.91521005593341</v>
      </c>
      <c r="X63">
        <f t="shared" si="66"/>
        <v>1090.3495655438792</v>
      </c>
      <c r="Y63">
        <f t="shared" si="67"/>
        <v>332.4236480316705</v>
      </c>
      <c r="AA63">
        <f t="shared" si="43"/>
        <v>0.99941892593658099</v>
      </c>
      <c r="AB63">
        <f t="shared" si="44"/>
        <v>0.9392748279429235</v>
      </c>
      <c r="AC63">
        <f t="shared" si="45"/>
        <v>0.14521789939582702</v>
      </c>
      <c r="AD63">
        <f t="shared" si="46"/>
        <v>0.25258834570913219</v>
      </c>
      <c r="AE63">
        <f t="shared" si="47"/>
        <v>0.85372154271633049</v>
      </c>
      <c r="AF63">
        <f t="shared" si="48"/>
        <v>0.17009984184512858</v>
      </c>
      <c r="AG63">
        <f t="shared" si="49"/>
        <v>5.878900233843094</v>
      </c>
    </row>
    <row r="64" spans="3:33" x14ac:dyDescent="0.25">
      <c r="C64" s="40" t="s">
        <v>127</v>
      </c>
      <c r="D64">
        <f t="shared" si="50"/>
        <v>124.96492831175462</v>
      </c>
      <c r="E64">
        <f t="shared" si="51"/>
        <v>38.099063509681287</v>
      </c>
      <c r="F64">
        <f t="shared" si="52"/>
        <v>0.9492748279429235</v>
      </c>
      <c r="G64">
        <f t="shared" si="53"/>
        <v>9.3536828187673518E-2</v>
      </c>
      <c r="H64">
        <f t="shared" si="54"/>
        <v>56.51635063970479</v>
      </c>
      <c r="I64" s="21">
        <f t="shared" si="55"/>
        <v>389.66667373661096</v>
      </c>
      <c r="J64">
        <f t="shared" si="56"/>
        <v>100.93699066026232</v>
      </c>
      <c r="K64" s="21">
        <f t="shared" si="57"/>
        <v>695.93632572475019</v>
      </c>
      <c r="L64">
        <f t="shared" si="58"/>
        <v>558.93601408726897</v>
      </c>
      <c r="M64">
        <f t="shared" si="59"/>
        <v>310.52000782626055</v>
      </c>
      <c r="N64">
        <f>L64-'Example 7.2 - Pipe P1'!$C$8</f>
        <v>99.266014087268957</v>
      </c>
      <c r="O64">
        <f>M64-'Example 7.2 - Pipe P1'!$C$9</f>
        <v>37.370007826260576</v>
      </c>
      <c r="P64">
        <f t="shared" si="60"/>
        <v>659.67000000000007</v>
      </c>
      <c r="Q64">
        <f t="shared" si="61"/>
        <v>366.48333333333335</v>
      </c>
      <c r="R64">
        <f>P64-'Example 7.2 - Pipe P1'!$C$8</f>
        <v>200.00000000000006</v>
      </c>
      <c r="S64">
        <f>Q64-'Example 7.2 - Pipe P1'!$C$9</f>
        <v>93.333333333333371</v>
      </c>
      <c r="T64">
        <f t="shared" si="62"/>
        <v>0.27290762186127443</v>
      </c>
      <c r="U64">
        <f t="shared" si="63"/>
        <v>4.3715598244799505</v>
      </c>
      <c r="V64">
        <f t="shared" si="64"/>
        <v>1158.9828661355054</v>
      </c>
      <c r="W64">
        <f t="shared" si="65"/>
        <v>353.34843479741022</v>
      </c>
      <c r="X64">
        <f t="shared" si="66"/>
        <v>1100.1932608395782</v>
      </c>
      <c r="Y64">
        <f t="shared" si="67"/>
        <v>335.42477464621288</v>
      </c>
      <c r="AA64">
        <f t="shared" si="43"/>
        <v>0.999602534857855</v>
      </c>
      <c r="AB64">
        <f t="shared" si="44"/>
        <v>0.9492748279429235</v>
      </c>
      <c r="AC64">
        <f t="shared" si="45"/>
        <v>0.14345801376197437</v>
      </c>
      <c r="AD64">
        <f t="shared" si="46"/>
        <v>0.25234247665065579</v>
      </c>
      <c r="AE64">
        <f t="shared" si="47"/>
        <v>0.85098935833724298</v>
      </c>
      <c r="AF64">
        <f t="shared" si="48"/>
        <v>0.16857791740460595</v>
      </c>
      <c r="AG64">
        <f t="shared" si="49"/>
        <v>5.9319750498512054</v>
      </c>
    </row>
    <row r="65" spans="3:33" x14ac:dyDescent="0.25">
      <c r="C65" s="40" t="s">
        <v>127</v>
      </c>
      <c r="D65">
        <f t="shared" si="50"/>
        <v>124.98321368278066</v>
      </c>
      <c r="E65">
        <f t="shared" si="51"/>
        <v>38.104638317920937</v>
      </c>
      <c r="F65">
        <f t="shared" si="52"/>
        <v>0.95927482794292351</v>
      </c>
      <c r="G65">
        <f t="shared" si="53"/>
        <v>9.361096400674393E-2</v>
      </c>
      <c r="H65">
        <f t="shared" si="54"/>
        <v>55.836972129745817</v>
      </c>
      <c r="I65" s="21">
        <f t="shared" si="55"/>
        <v>384.98252196128624</v>
      </c>
      <c r="J65">
        <f t="shared" si="56"/>
        <v>100.85705294616548</v>
      </c>
      <c r="K65" s="21">
        <f t="shared" si="57"/>
        <v>695.38517437110386</v>
      </c>
      <c r="L65">
        <f t="shared" si="58"/>
        <v>557.13412283257492</v>
      </c>
      <c r="M65">
        <f t="shared" si="59"/>
        <v>309.51895712920827</v>
      </c>
      <c r="N65">
        <f>L65-'Example 7.2 - Pipe P1'!$C$8</f>
        <v>97.464122832574901</v>
      </c>
      <c r="O65">
        <f>M65-'Example 7.2 - Pipe P1'!$C$9</f>
        <v>36.368957129208297</v>
      </c>
      <c r="P65">
        <f t="shared" si="60"/>
        <v>659.67000000000007</v>
      </c>
      <c r="Q65">
        <f t="shared" si="61"/>
        <v>366.48333333333335</v>
      </c>
      <c r="R65">
        <f>P65-'Example 7.2 - Pipe P1'!$C$8</f>
        <v>200.00000000000006</v>
      </c>
      <c r="S65">
        <f>Q65-'Example 7.2 - Pipe P1'!$C$9</f>
        <v>93.333333333333371</v>
      </c>
      <c r="T65">
        <f t="shared" si="62"/>
        <v>0.27049905288689624</v>
      </c>
      <c r="U65">
        <f t="shared" si="63"/>
        <v>4.3329782587066319</v>
      </c>
      <c r="V65">
        <f t="shared" si="64"/>
        <v>1157.1132004984584</v>
      </c>
      <c r="W65">
        <f t="shared" si="65"/>
        <v>352.77841478611538</v>
      </c>
      <c r="X65">
        <f t="shared" si="66"/>
        <v>1109.9895663186442</v>
      </c>
      <c r="Y65">
        <f t="shared" si="67"/>
        <v>338.41145314592814</v>
      </c>
      <c r="AA65">
        <f t="shared" si="43"/>
        <v>0.99974880072200889</v>
      </c>
      <c r="AB65">
        <f t="shared" si="44"/>
        <v>0.95927482794292351</v>
      </c>
      <c r="AC65">
        <f t="shared" si="45"/>
        <v>0.14173351650537316</v>
      </c>
      <c r="AD65">
        <f t="shared" si="46"/>
        <v>0.25214263236541368</v>
      </c>
      <c r="AE65">
        <f t="shared" si="47"/>
        <v>0.84824594899524597</v>
      </c>
      <c r="AF65">
        <f t="shared" si="48"/>
        <v>0.16709011893691633</v>
      </c>
      <c r="AG65">
        <f t="shared" si="49"/>
        <v>5.984794351469354</v>
      </c>
    </row>
    <row r="66" spans="3:33" x14ac:dyDescent="0.25">
      <c r="C66" s="40" t="s">
        <v>127</v>
      </c>
      <c r="D66">
        <f t="shared" si="50"/>
        <v>124.99708801530811</v>
      </c>
      <c r="E66">
        <f t="shared" si="51"/>
        <v>38.108868297350035</v>
      </c>
      <c r="F66">
        <f t="shared" si="52"/>
        <v>0.96927482794292352</v>
      </c>
      <c r="G66">
        <f t="shared" si="53"/>
        <v>9.3668435516574985E-2</v>
      </c>
      <c r="H66">
        <f t="shared" si="54"/>
        <v>55.171113735213019</v>
      </c>
      <c r="I66" s="21">
        <f t="shared" si="55"/>
        <v>380.39158813699731</v>
      </c>
      <c r="J66">
        <f t="shared" si="56"/>
        <v>100.79517076485264</v>
      </c>
      <c r="K66" s="21">
        <f t="shared" si="57"/>
        <v>694.95851158267533</v>
      </c>
      <c r="L66">
        <f t="shared" si="58"/>
        <v>555.32511203708725</v>
      </c>
      <c r="M66">
        <f t="shared" si="59"/>
        <v>308.51395113171515</v>
      </c>
      <c r="N66">
        <f>L66-'Example 7.2 - Pipe P1'!$C$8</f>
        <v>95.655112037087235</v>
      </c>
      <c r="O66">
        <f>M66-'Example 7.2 - Pipe P1'!$C$9</f>
        <v>35.363951131715169</v>
      </c>
      <c r="P66">
        <f t="shared" si="60"/>
        <v>659.67000000000007</v>
      </c>
      <c r="Q66">
        <f t="shared" si="61"/>
        <v>366.48333333333335</v>
      </c>
      <c r="R66">
        <f>P66-'Example 7.2 - Pipe P1'!$C$8</f>
        <v>200.00000000000006</v>
      </c>
      <c r="S66">
        <f>Q66-'Example 7.2 - Pipe P1'!$C$9</f>
        <v>93.333333333333371</v>
      </c>
      <c r="T66">
        <f t="shared" si="62"/>
        <v>0.26814400135193794</v>
      </c>
      <c r="U66">
        <f t="shared" si="63"/>
        <v>4.2952539598959643</v>
      </c>
      <c r="V66">
        <f t="shared" si="64"/>
        <v>1155.2331036547523</v>
      </c>
      <c r="W66">
        <f t="shared" si="65"/>
        <v>352.20521452888789</v>
      </c>
      <c r="X66">
        <f t="shared" si="66"/>
        <v>1119.7383677789296</v>
      </c>
      <c r="Y66">
        <f t="shared" si="67"/>
        <v>341.38364871308829</v>
      </c>
      <c r="AA66">
        <f t="shared" si="43"/>
        <v>0.99985978240423978</v>
      </c>
      <c r="AB66">
        <f t="shared" si="44"/>
        <v>0.96927482794292352</v>
      </c>
      <c r="AC66">
        <f t="shared" si="45"/>
        <v>0.14004333797039703</v>
      </c>
      <c r="AD66">
        <f t="shared" si="46"/>
        <v>0.25198792691213162</v>
      </c>
      <c r="AE66">
        <f t="shared" si="47"/>
        <v>0.8454917000342248</v>
      </c>
      <c r="AF66">
        <f t="shared" si="48"/>
        <v>0.16563537875620568</v>
      </c>
      <c r="AG66">
        <f t="shared" si="49"/>
        <v>6.0373575229472767</v>
      </c>
    </row>
    <row r="67" spans="3:33" x14ac:dyDescent="0.25">
      <c r="C67" s="40" t="s">
        <v>127</v>
      </c>
      <c r="D67">
        <f t="shared" si="50"/>
        <v>125.00679429907285</v>
      </c>
      <c r="E67">
        <f t="shared" si="51"/>
        <v>38.11182753020514</v>
      </c>
      <c r="F67">
        <f t="shared" si="52"/>
        <v>0.97927482794292353</v>
      </c>
      <c r="G67">
        <f t="shared" si="53"/>
        <v>9.3709494196113324E-2</v>
      </c>
      <c r="H67">
        <f t="shared" si="54"/>
        <v>54.518371231748489</v>
      </c>
      <c r="I67" s="21">
        <f t="shared" si="55"/>
        <v>375.8910852338102</v>
      </c>
      <c r="J67">
        <f t="shared" si="56"/>
        <v>100.75100750635949</v>
      </c>
      <c r="K67" s="21">
        <f t="shared" si="57"/>
        <v>694.65401651454715</v>
      </c>
      <c r="L67">
        <f t="shared" si="58"/>
        <v>553.50923297171482</v>
      </c>
      <c r="M67">
        <f t="shared" si="59"/>
        <v>307.50512942873047</v>
      </c>
      <c r="N67">
        <f>L67-'Example 7.2 - Pipe P1'!$C$8</f>
        <v>93.839232971714807</v>
      </c>
      <c r="O67">
        <f>M67-'Example 7.2 - Pipe P1'!$C$9</f>
        <v>34.355129428730493</v>
      </c>
      <c r="P67">
        <f t="shared" si="60"/>
        <v>659.67000000000007</v>
      </c>
      <c r="Q67">
        <f t="shared" si="61"/>
        <v>366.48333333333335</v>
      </c>
      <c r="R67">
        <f>P67-'Example 7.2 - Pipe P1'!$C$8</f>
        <v>200.00000000000006</v>
      </c>
      <c r="S67">
        <f>Q67-'Example 7.2 - Pipe P1'!$C$9</f>
        <v>93.333333333333371</v>
      </c>
      <c r="T67">
        <f t="shared" si="62"/>
        <v>0.26584080935864085</v>
      </c>
      <c r="U67">
        <f t="shared" si="63"/>
        <v>4.2583603710790143</v>
      </c>
      <c r="V67">
        <f t="shared" si="64"/>
        <v>1153.3427863773845</v>
      </c>
      <c r="W67">
        <f t="shared" si="65"/>
        <v>351.62889828578801</v>
      </c>
      <c r="X67">
        <f t="shared" si="66"/>
        <v>1129.4395586889252</v>
      </c>
      <c r="Y67">
        <f t="shared" si="67"/>
        <v>344.34132886857481</v>
      </c>
      <c r="AA67">
        <f t="shared" si="43"/>
        <v>0.99993742359514326</v>
      </c>
      <c r="AB67">
        <f t="shared" si="44"/>
        <v>0.97927482794292353</v>
      </c>
      <c r="AC67">
        <f t="shared" si="45"/>
        <v>0.1383864520960417</v>
      </c>
      <c r="AD67">
        <f t="shared" si="46"/>
        <v>0.2518775187658987</v>
      </c>
      <c r="AE67">
        <f t="shared" si="47"/>
        <v>0.84272699401830853</v>
      </c>
      <c r="AF67">
        <f t="shared" si="48"/>
        <v>0.16421267276153634</v>
      </c>
      <c r="AG67">
        <f t="shared" si="49"/>
        <v>6.089663989892931</v>
      </c>
    </row>
    <row r="68" spans="3:33" x14ac:dyDescent="0.25">
      <c r="C68" s="40" t="s">
        <v>127</v>
      </c>
      <c r="D68">
        <f t="shared" si="50"/>
        <v>125.01256202892627</v>
      </c>
      <c r="E68">
        <f t="shared" si="51"/>
        <v>38.113585984428745</v>
      </c>
      <c r="F68">
        <f t="shared" si="52"/>
        <v>0.98927482794292354</v>
      </c>
      <c r="G68">
        <f t="shared" si="53"/>
        <v>9.3734394309237426E-2</v>
      </c>
      <c r="H68">
        <f t="shared" si="54"/>
        <v>53.878356699297306</v>
      </c>
      <c r="I68" s="21">
        <f t="shared" si="55"/>
        <v>371.47833863604711</v>
      </c>
      <c r="J68">
        <f t="shared" si="56"/>
        <v>100.72424346203228</v>
      </c>
      <c r="K68" s="21">
        <f t="shared" si="57"/>
        <v>694.46948485228165</v>
      </c>
      <c r="L68">
        <f t="shared" si="58"/>
        <v>551.68673502699301</v>
      </c>
      <c r="M68">
        <f t="shared" si="59"/>
        <v>306.49263057055168</v>
      </c>
      <c r="N68">
        <f>L68-'Example 7.2 - Pipe P1'!$C$8</f>
        <v>92.01673502699299</v>
      </c>
      <c r="O68">
        <f>M68-'Example 7.2 - Pipe P1'!$C$9</f>
        <v>33.342630570551705</v>
      </c>
      <c r="P68">
        <f t="shared" si="60"/>
        <v>659.67000000000007</v>
      </c>
      <c r="Q68">
        <f t="shared" si="61"/>
        <v>366.48333333333335</v>
      </c>
      <c r="R68">
        <f>P68-'Example 7.2 - Pipe P1'!$C$8</f>
        <v>200.00000000000006</v>
      </c>
      <c r="S68">
        <f>Q68-'Example 7.2 - Pipe P1'!$C$9</f>
        <v>93.333333333333371</v>
      </c>
      <c r="T68">
        <f t="shared" si="62"/>
        <v>0.26358788600478239</v>
      </c>
      <c r="U68">
        <f t="shared" si="63"/>
        <v>4.2222720084521672</v>
      </c>
      <c r="V68">
        <f t="shared" si="64"/>
        <v>1151.4424585852234</v>
      </c>
      <c r="W68">
        <f t="shared" si="65"/>
        <v>351.04953005647059</v>
      </c>
      <c r="X68">
        <f t="shared" si="66"/>
        <v>1139.0930401030737</v>
      </c>
      <c r="Y68">
        <f t="shared" si="67"/>
        <v>347.28446344605908</v>
      </c>
      <c r="AA68">
        <f t="shared" si="43"/>
        <v>0.9999835600388618</v>
      </c>
      <c r="AB68">
        <f t="shared" si="44"/>
        <v>0.98927482794292354</v>
      </c>
      <c r="AC68">
        <f t="shared" si="45"/>
        <v>0.13676187420725386</v>
      </c>
      <c r="AD68">
        <f t="shared" si="46"/>
        <v>0.2518106086550807</v>
      </c>
      <c r="AE68">
        <f t="shared" si="47"/>
        <v>0.8399522106487266</v>
      </c>
      <c r="AF68">
        <f t="shared" si="48"/>
        <v>0.16282101823582024</v>
      </c>
      <c r="AG68">
        <f t="shared" si="49"/>
        <v>6.1417132188158856</v>
      </c>
    </row>
    <row r="69" spans="3:33" x14ac:dyDescent="0.25">
      <c r="C69" s="40" t="s">
        <v>127</v>
      </c>
      <c r="D69">
        <f t="shared" si="50"/>
        <v>125.01460804526567</v>
      </c>
      <c r="E69">
        <f t="shared" si="51"/>
        <v>38.114209769898075</v>
      </c>
      <c r="F69">
        <f t="shared" si="52"/>
        <v>0.99927482794292355</v>
      </c>
      <c r="G69">
        <f t="shared" si="53"/>
        <v>9.3743392672650694E-2</v>
      </c>
      <c r="H69">
        <f t="shared" si="54"/>
        <v>53.250697704283724</v>
      </c>
      <c r="I69" s="21">
        <f t="shared" si="55"/>
        <v>367.15078050358721</v>
      </c>
      <c r="J69">
        <f t="shared" si="56"/>
        <v>100.71457501158093</v>
      </c>
      <c r="K69" s="21">
        <f t="shared" si="57"/>
        <v>694.40282320684776</v>
      </c>
      <c r="L69">
        <f t="shared" si="58"/>
        <v>549.85786566047409</v>
      </c>
      <c r="M69">
        <f t="shared" si="59"/>
        <v>305.47659203359672</v>
      </c>
      <c r="N69">
        <f>L69-'Example 7.2 - Pipe P1'!$C$8</f>
        <v>90.187865660474074</v>
      </c>
      <c r="O69">
        <f>M69-'Example 7.2 - Pipe P1'!$C$9</f>
        <v>32.326592033596739</v>
      </c>
      <c r="P69">
        <f t="shared" si="60"/>
        <v>659.67000000000007</v>
      </c>
      <c r="Q69">
        <f t="shared" si="61"/>
        <v>366.48333333333335</v>
      </c>
      <c r="R69">
        <f>P69-'Example 7.2 - Pipe P1'!$C$8</f>
        <v>200.00000000000006</v>
      </c>
      <c r="S69">
        <f>Q69-'Example 7.2 - Pipe P1'!$C$9</f>
        <v>93.333333333333371</v>
      </c>
      <c r="T69">
        <f t="shared" si="62"/>
        <v>0.26138370403432709</v>
      </c>
      <c r="U69">
        <f t="shared" si="63"/>
        <v>4.1869644077257071</v>
      </c>
      <c r="V69">
        <f t="shared" si="64"/>
        <v>1149.5323292994653</v>
      </c>
      <c r="W69">
        <f t="shared" si="65"/>
        <v>350.46717356691016</v>
      </c>
      <c r="X69">
        <f t="shared" si="66"/>
        <v>1148.6987205755513</v>
      </c>
      <c r="Y69">
        <f t="shared" si="67"/>
        <v>350.21302456571686</v>
      </c>
      <c r="AA69">
        <f t="shared" si="43"/>
        <v>0.99999992625574252</v>
      </c>
      <c r="AB69">
        <f t="shared" si="44"/>
        <v>0.99927482794292355</v>
      </c>
      <c r="AC69">
        <f t="shared" si="45"/>
        <v>0.13516865893901203</v>
      </c>
      <c r="AD69">
        <f t="shared" si="46"/>
        <v>0.25178643752895236</v>
      </c>
      <c r="AE69">
        <f t="shared" si="47"/>
        <v>0.83716772668370953</v>
      </c>
      <c r="AF69">
        <f t="shared" si="48"/>
        <v>0.16145947177689057</v>
      </c>
      <c r="AG69">
        <f t="shared" si="49"/>
        <v>6.1935047166624528</v>
      </c>
    </row>
    <row r="70" spans="3:33" x14ac:dyDescent="0.25">
      <c r="C70" s="40" t="s">
        <v>127</v>
      </c>
      <c r="D70">
        <f t="shared" si="50"/>
        <v>125.0146172643758</v>
      </c>
      <c r="E70">
        <f t="shared" si="51"/>
        <v>38.114212580602377</v>
      </c>
      <c r="F70">
        <v>1</v>
      </c>
      <c r="G70">
        <f t="shared" si="53"/>
        <v>9.3743433770267531E-2</v>
      </c>
      <c r="H70">
        <f t="shared" si="54"/>
        <v>53.20565241064395</v>
      </c>
      <c r="I70" s="21">
        <f t="shared" si="55"/>
        <v>366.84020401481149</v>
      </c>
      <c r="J70">
        <f t="shared" si="56"/>
        <v>100.71453085777893</v>
      </c>
      <c r="K70" s="21">
        <f t="shared" si="57"/>
        <v>694.40251877697983</v>
      </c>
      <c r="L70">
        <f t="shared" si="58"/>
        <v>549.72500000000014</v>
      </c>
      <c r="M70">
        <f t="shared" si="59"/>
        <v>305.40277777777783</v>
      </c>
      <c r="N70">
        <f>L70-'Example 7.2 - Pipe P1'!$C$8</f>
        <v>90.055000000000121</v>
      </c>
      <c r="O70">
        <f>M70-'Example 7.2 - Pipe P1'!$C$9</f>
        <v>32.252777777777851</v>
      </c>
      <c r="P70">
        <f t="shared" si="60"/>
        <v>659.67000000000007</v>
      </c>
      <c r="Q70">
        <f t="shared" si="61"/>
        <v>366.48333333333335</v>
      </c>
      <c r="R70">
        <f>P70-'Example 7.2 - Pipe P1'!$C$8</f>
        <v>200.00000000000006</v>
      </c>
      <c r="S70">
        <f>Q70-'Example 7.2 - Pipe P1'!$C$9</f>
        <v>93.333333333333371</v>
      </c>
      <c r="T70">
        <f t="shared" si="62"/>
        <v>0.26122571860040111</v>
      </c>
      <c r="U70">
        <f t="shared" si="63"/>
        <v>4.1844337243717815</v>
      </c>
      <c r="V70">
        <f t="shared" si="64"/>
        <v>1149.3934364970639</v>
      </c>
      <c r="W70">
        <f t="shared" si="65"/>
        <v>350.42482820032438</v>
      </c>
      <c r="X70">
        <f t="shared" si="66"/>
        <v>1149.3934364970639</v>
      </c>
      <c r="Y70">
        <f t="shared" si="67"/>
        <v>350.42482820032438</v>
      </c>
      <c r="AA70">
        <f t="shared" si="43"/>
        <v>1</v>
      </c>
      <c r="AB70">
        <f t="shared" si="44"/>
        <v>1</v>
      </c>
      <c r="AC70">
        <f t="shared" si="45"/>
        <v>0.13505431842902257</v>
      </c>
      <c r="AD70">
        <f t="shared" si="46"/>
        <v>0.25178632714444732</v>
      </c>
      <c r="AE70">
        <f t="shared" si="47"/>
        <v>0.83696543651041233</v>
      </c>
      <c r="AF70">
        <f t="shared" si="48"/>
        <v>0.1613618825074892</v>
      </c>
      <c r="AG70">
        <f t="shared" si="49"/>
        <v>6.1972504563064152</v>
      </c>
    </row>
    <row r="71" spans="3:33" x14ac:dyDescent="0.25">
      <c r="C71" s="41" t="s">
        <v>128</v>
      </c>
      <c r="D71" s="38"/>
      <c r="E71" s="38"/>
      <c r="F71" s="38"/>
      <c r="G71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32</vt:i4>
      </vt:variant>
    </vt:vector>
  </HeadingPairs>
  <TitlesOfParts>
    <vt:vector size="34" baseType="lpstr">
      <vt:lpstr>Example 7.2 - Pipe P1</vt:lpstr>
      <vt:lpstr>Graph Data</vt:lpstr>
      <vt:lpstr>A</vt:lpstr>
      <vt:lpstr>c_1</vt:lpstr>
      <vt:lpstr>c_2</vt:lpstr>
      <vt:lpstr>CdA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2024-04-22T23:10:26Z</dcterms:modified>
</cp:coreProperties>
</file>